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35" windowHeight="6915" activeTab="0"/>
  </bookViews>
  <sheets>
    <sheet name="ข้อ 9(64-66)ข้อบัญญัติ63+3% " sheetId="1" r:id="rId1"/>
  </sheets>
  <definedNames/>
  <calcPr fullCalcOnLoad="1"/>
</workbook>
</file>

<file path=xl/sharedStrings.xml><?xml version="1.0" encoding="utf-8"?>
<sst xmlns="http://schemas.openxmlformats.org/spreadsheetml/2006/main" count="344" uniqueCount="131">
  <si>
    <t xml:space="preserve">9.  ภาระค่าใช้จ่ายเกี่ยวกับเงินเดือนและประโยชน์ตอบแทนอื่น  </t>
  </si>
  <si>
    <t xml:space="preserve">การวิเคราะห์การกำหนดอัตรากำลังของพนักงานส่วนตำบล องค์การบริหารส่วนตำบลบึงเกลือ  อำเภอเสลภูมิ  จังหวัดร้อยเอ็ด   </t>
  </si>
  <si>
    <t>ที่</t>
  </si>
  <si>
    <t>จำนวน</t>
  </si>
  <si>
    <t>ทั้งหมด</t>
  </si>
  <si>
    <t>จำนวนคน</t>
  </si>
  <si>
    <t>-</t>
  </si>
  <si>
    <t>สำนักงานปลัด</t>
  </si>
  <si>
    <t>.-</t>
  </si>
  <si>
    <t>ลูกจ้างประจำ</t>
  </si>
  <si>
    <t>กองช่าง</t>
  </si>
  <si>
    <t>กองคลัง</t>
  </si>
  <si>
    <t>พนักงานจ้างตามภารกิจ</t>
  </si>
  <si>
    <t>พนักงานส่วนตำบล</t>
  </si>
  <si>
    <t>อัตรากำลังคน</t>
  </si>
  <si>
    <t>เพิ่ม/ลด</t>
  </si>
  <si>
    <t>อัตราตำแหน่งที่คาด</t>
  </si>
  <si>
    <t>ว่าจะต้องใช้ในช่วง</t>
  </si>
  <si>
    <t>ระยะ 3 ปี ข้างหน้า</t>
  </si>
  <si>
    <t>พนักงานขับรถยนต์</t>
  </si>
  <si>
    <t>คนงานประจำเครื่องสูบน้ำ</t>
  </si>
  <si>
    <t xml:space="preserve">(4)  รวม      </t>
  </si>
  <si>
    <t>(6)  รวมเป็นค่าใช้จ่ายบุคคลทั้งสิ้น</t>
  </si>
  <si>
    <t>หมายเหตุ</t>
  </si>
  <si>
    <t xml:space="preserve">เจ้าพนักงานธุรการ </t>
  </si>
  <si>
    <t xml:space="preserve">นักวิชาการจัดเก็บรายได้ </t>
  </si>
  <si>
    <t xml:space="preserve">เจ้าพนักงานส่งเสริมการท่องเที่ยว  </t>
  </si>
  <si>
    <t>พนักงานครูองค์การบริหารส่วนตำบล</t>
  </si>
  <si>
    <t>ผู้ช่วยเจ้าพนักงานธุรการ</t>
  </si>
  <si>
    <t>คนสวน</t>
  </si>
  <si>
    <t>คนงานประจำรถขยะ</t>
  </si>
  <si>
    <t>ผู้ช่วยเจ้าพนักงานประปา</t>
  </si>
  <si>
    <t>ผู้ช่วยนายช่างไฟฟ้า</t>
  </si>
  <si>
    <t>ชื่อสายงาน</t>
  </si>
  <si>
    <r>
      <t xml:space="preserve">นักวิชาการพัสดุ </t>
    </r>
    <r>
      <rPr>
        <sz val="10"/>
        <color indexed="10"/>
        <rFont val="TH SarabunIT๙"/>
        <family val="2"/>
      </rPr>
      <t xml:space="preserve"> </t>
    </r>
  </si>
  <si>
    <r>
      <rPr>
        <b/>
        <sz val="10"/>
        <rFont val="TH SarabunIT๙"/>
        <family val="2"/>
      </rPr>
      <t>พนักงานจ้างทั่วไป</t>
    </r>
    <r>
      <rPr>
        <sz val="10"/>
        <rFont val="TH SarabunIT๙"/>
        <family val="2"/>
      </rPr>
      <t xml:space="preserve"> </t>
    </r>
  </si>
  <si>
    <r>
      <t xml:space="preserve">กองสวัสดิการสังคม </t>
    </r>
    <r>
      <rPr>
        <b/>
        <sz val="10"/>
        <color indexed="10"/>
        <rFont val="TH SarabunIT๙"/>
        <family val="2"/>
      </rPr>
      <t xml:space="preserve">                              </t>
    </r>
  </si>
  <si>
    <t xml:space="preserve">นิติกร </t>
  </si>
  <si>
    <t xml:space="preserve">นักวิเคราะห์นโยบายและแผน </t>
  </si>
  <si>
    <r>
      <rPr>
        <sz val="10"/>
        <color indexed="8"/>
        <rFont val="TH SarabunIT๙"/>
        <family val="2"/>
      </rPr>
      <t xml:space="preserve">นักวิชาการศึกษา  </t>
    </r>
    <r>
      <rPr>
        <sz val="10"/>
        <color indexed="10"/>
        <rFont val="TH SarabunIT๙"/>
        <family val="2"/>
      </rPr>
      <t xml:space="preserve">            </t>
    </r>
  </si>
  <si>
    <r>
      <t xml:space="preserve">นักพัฒนาชุมชน  </t>
    </r>
    <r>
      <rPr>
        <sz val="10"/>
        <color indexed="10"/>
        <rFont val="TH SarabunIT๙"/>
        <family val="2"/>
      </rPr>
      <t xml:space="preserve"> </t>
    </r>
  </si>
  <si>
    <t xml:space="preserve">เจ้าพนักงานธุรการ  </t>
  </si>
  <si>
    <t>หัวหน้าสำนักปลัด (นักบริหารงานทั่วไป)</t>
  </si>
  <si>
    <t>หัวหน้าฝ่ายบริหารงานทั่วไป (นักบริหารงานทั่วไป)</t>
  </si>
  <si>
    <t xml:space="preserve">ปลัดองค์การบริหารส่วนตำบล (นักบริหารงานท้องถิ่น) </t>
  </si>
  <si>
    <r>
      <t xml:space="preserve">รองปลัดองค์การบริหารส่วนตำบล </t>
    </r>
    <r>
      <rPr>
        <sz val="9"/>
        <rFont val="TH SarabunIT๙"/>
        <family val="2"/>
      </rPr>
      <t xml:space="preserve">(นักบริหารงานท้องถิ่น) </t>
    </r>
  </si>
  <si>
    <t>ผู้อำนวยการกองการศึกษาฯ (นักบริหารงานศึกษา)</t>
  </si>
  <si>
    <t>ผู้อำนวยการกองคลัง (นักบริหารงานการคลัง)</t>
  </si>
  <si>
    <t>หัวหน้าฝ่ายการเงิน (นักบริหารงานการคลัง)</t>
  </si>
  <si>
    <t>ผู้อำนวยการกองช่าง (นักบริหารงานช่าง)</t>
  </si>
  <si>
    <t>กองการศึกษา ศาสนาและวัฒนธรรม</t>
  </si>
  <si>
    <t xml:space="preserve">ไม่รวมเงินอุดหนุนเบี้ยต่างๆ </t>
  </si>
  <si>
    <t>ไม่รวมเงินอุดหนุนครู</t>
  </si>
  <si>
    <t>รวมเงินอุดหนุนตามข้อบัญญัติ</t>
  </si>
  <si>
    <t>ไม่รวมเงินอุดหนุนเบี้ยยังชีพและครู</t>
  </si>
  <si>
    <t>ข้อบัญญัติ 61+5%=ปี61</t>
  </si>
  <si>
    <t>ข้อบัญญัติ 62+5%=ปี62</t>
  </si>
  <si>
    <t>ข้อบัญญัติ 63+5%=ปี63</t>
  </si>
  <si>
    <r>
      <rPr>
        <b/>
        <sz val="8.5"/>
        <rFont val="TH SarabunIT๙"/>
        <family val="2"/>
      </rPr>
      <t>ผู้อำนวยการกองสวัสดิการสังคม</t>
    </r>
    <r>
      <rPr>
        <sz val="8.5"/>
        <rFont val="TH SarabunIT๙"/>
        <family val="2"/>
      </rPr>
      <t xml:space="preserve"> (นักบริหารงานสวัสดิการสังคม)</t>
    </r>
  </si>
  <si>
    <t>♥</t>
  </si>
  <si>
    <t>ค่าใช้จ่ายรวม  (4)</t>
  </si>
  <si>
    <t>เงินประจำตำแหน่ง (2)</t>
  </si>
  <si>
    <t>ขอยุบเลิก</t>
  </si>
  <si>
    <t xml:space="preserve"> - </t>
  </si>
  <si>
    <r>
      <t xml:space="preserve">คนสวน </t>
    </r>
    <r>
      <rPr>
        <b/>
        <sz val="10"/>
        <color indexed="10"/>
        <rFont val="TH SarabunIT๙"/>
        <family val="2"/>
      </rPr>
      <t xml:space="preserve"> (ว่างเดิม)</t>
    </r>
  </si>
  <si>
    <t xml:space="preserve"> -</t>
  </si>
  <si>
    <t xml:space="preserve">(5)  ประมาณการประโยชน์ตอบแทนอื่นไม่เกิน 15%        </t>
  </si>
  <si>
    <t>ปี64</t>
  </si>
  <si>
    <t>ปี65</t>
  </si>
  <si>
    <t>ปี66</t>
  </si>
  <si>
    <t>ข้อบัญญัติ 63+5%=ปี64</t>
  </si>
  <si>
    <t>ข้อบัญญัติ 64+5%=ปี65</t>
  </si>
  <si>
    <t>ข้อบัญญัติ 65+5%=ปี66</t>
  </si>
  <si>
    <t>หมายเหตุ    คิดจากงบประมาณรายจ่ายตามข้อบัญญัติงบประมาณ พ.ศ. 2563 = 44,005,330</t>
  </si>
  <si>
    <t>หักอุดหนุนครู</t>
  </si>
  <si>
    <t xml:space="preserve">หักเบี้ยต่างๆ </t>
  </si>
  <si>
    <t>ปี</t>
  </si>
  <si>
    <t xml:space="preserve">หักอุดหนุนและหักเบี้ยต่างๆ </t>
  </si>
  <si>
    <t xml:space="preserve"> กลาง</t>
  </si>
  <si>
    <t xml:space="preserve"> ต้น</t>
  </si>
  <si>
    <t>ชก.</t>
  </si>
  <si>
    <t>ชง.</t>
  </si>
  <si>
    <t>ปง./ชง.</t>
  </si>
  <si>
    <t>ปก.</t>
  </si>
  <si>
    <t>ว่างเดิม</t>
  </si>
  <si>
    <r>
      <t xml:space="preserve">เจ้าพนักงานป้องกันและบรรเทาสาธารณภัย </t>
    </r>
    <r>
      <rPr>
        <b/>
        <sz val="10"/>
        <color indexed="10"/>
        <rFont val="TH SarabunIT๙"/>
        <family val="2"/>
      </rPr>
      <t xml:space="preserve"> </t>
    </r>
  </si>
  <si>
    <t>จ่ายจากเงินอุดหนุน</t>
  </si>
  <si>
    <t>จำนวนที่มีอยู่ปัจจุบัน</t>
  </si>
  <si>
    <t>ค่าใช้จ่ายที่เพิ่มขึ้น (3)</t>
  </si>
  <si>
    <t>เงินเดือน (1)</t>
  </si>
  <si>
    <t>(43,300)</t>
  </si>
  <si>
    <t>(33,560)</t>
  </si>
  <si>
    <t>(30,220)</t>
  </si>
  <si>
    <t>(29,680)</t>
  </si>
  <si>
    <t>(38,520)</t>
  </si>
  <si>
    <t>(24,730)</t>
  </si>
  <si>
    <t>(22,920)</t>
  </si>
  <si>
    <t>ลูกจ้างประจำถ่ายโอน</t>
  </si>
  <si>
    <t>พนักงานสูบน้ำ  (ถ่ายโอนภารกิจ) อุดหนุน</t>
  </si>
  <si>
    <t>(14,380)</t>
  </si>
  <si>
    <t>(14,410)</t>
  </si>
  <si>
    <t>(13,260)</t>
  </si>
  <si>
    <t>(13,570)</t>
  </si>
  <si>
    <t>(13,240)</t>
  </si>
  <si>
    <t>(13,190)</t>
  </si>
  <si>
    <t>(13,220)</t>
  </si>
  <si>
    <t>(12,750)</t>
  </si>
  <si>
    <t>(9,000)</t>
  </si>
  <si>
    <t>(33,000)</t>
  </si>
  <si>
    <t>(31,340)</t>
  </si>
  <si>
    <t>(22,600)</t>
  </si>
  <si>
    <t>(23,340)</t>
  </si>
  <si>
    <t>(20,780)</t>
  </si>
  <si>
    <t>(30,770)</t>
  </si>
  <si>
    <t>(13,340)</t>
  </si>
  <si>
    <t>(14,470)</t>
  </si>
  <si>
    <t>(12,910)</t>
  </si>
  <si>
    <t xml:space="preserve">ครู  </t>
  </si>
  <si>
    <t xml:space="preserve">ครู    </t>
  </si>
  <si>
    <t xml:space="preserve">ผู้ดูแลเด็ก   </t>
  </si>
  <si>
    <t xml:space="preserve">ระดับ </t>
  </si>
  <si>
    <t xml:space="preserve"> ตำแหน่ง</t>
  </si>
  <si>
    <t>(23,5500)</t>
  </si>
  <si>
    <t>ต้น</t>
  </si>
  <si>
    <t xml:space="preserve">(ปีฯ 64)     =      คิดจาก  (44,005,330) บวกเพิ่ม 3%= (45,325,489.90) </t>
  </si>
  <si>
    <t xml:space="preserve">(ปีฯ 65)     =      คิดจาก  (45,325,489.90) บวกเพิ่ม 3% = (46,685,254.59)  </t>
  </si>
  <si>
    <t xml:space="preserve">(ปีฯ 66)     =      คิดจาก  (46,685,254.59) บวกเพิ่ม 3% = (48,085,812.22)  </t>
  </si>
  <si>
    <t>คิดเป็นร้อยละ 40 ของงบประมาณรายจ่ายประจำปี หัก เงินอุดหนุนทั่วไปจัดสรรเงินเดือนข้าราชการครู/พนักงานจ้าง/ครช. = (45,325,489.90-1,006,940=44,318,549.90)</t>
  </si>
  <si>
    <t>คิดเป็นร้อยละ 40 ของงบประมาณรายจ่ายประจำปี หัก เงินอุดหนุนทั่วไปค่าเบี้ยยังชีพต่าง ๆ = (45,325,489.90 - 12,576,000=32,749,489.90)</t>
  </si>
  <si>
    <t>(7)คิดเป็นร้อยละ40 ของงบประมาณรายจ่ายประจำปี 63+3%</t>
  </si>
  <si>
    <t>คิดเป็นร้อยละ40 ของงบประมาณรายจ่ายประจำปี หักเงินอุดหนุนทั่วไปค่าเบี้ยยังชีพต่าง ๆ และเงินอุดหนุนทั่วไปจัดสรรเงินเดือนข้าราชการครู/วิทยะฐานะ/พนักงานจ้างผดด./ครช.=(45,325,489.90-13,582,940=31,742,549.90)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</si>
</sst>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\-#,##0\ "/>
    <numFmt numFmtId="189" formatCode="0.00000"/>
    <numFmt numFmtId="190" formatCode="0.0000"/>
    <numFmt numFmtId="191" formatCode="0.000"/>
    <numFmt numFmtId="192" formatCode="0.0%"/>
    <numFmt numFmtId="193" formatCode="0.0"/>
    <numFmt numFmtId="194" formatCode="_-* #,##0.0_-;\-* #,##0.0_-;_-* &quot;-&quot;??_-;_-@_-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_-* #,##0.00000000_-;\-* #,##0.00000000_-;_-* &quot;-&quot;??_-;_-@_-"/>
    <numFmt numFmtId="201" formatCode="_-* #,##0.000000000_-;\-* #,##0.000000000_-;_-* &quot;-&quot;??_-;_-@_-"/>
    <numFmt numFmtId="202" formatCode="_-* #,##0.0000000000_-;\-* #,##0.0000000000_-;_-* &quot;-&quot;??_-;_-@_-"/>
    <numFmt numFmtId="203" formatCode="_-* #,##0.00000000000_-;\-* #,##0.00000000000_-;_-* &quot;-&quot;??_-;_-@_-"/>
    <numFmt numFmtId="204" formatCode="_-* #,##0.000000000000_-;\-* #,##0.000000000000_-;_-* &quot;-&quot;??_-;_-@_-"/>
    <numFmt numFmtId="205" formatCode="_-* #,##0.0000000000000_-;\-* #,##0.0000000000000_-;_-* &quot;-&quot;??_-;_-@_-"/>
    <numFmt numFmtId="206" formatCode="_-* #,##0.00000000000000_-;\-* #,##0.00000000000000_-;_-* &quot;-&quot;??_-;_-@_-"/>
    <numFmt numFmtId="207" formatCode="_-* #,##0.000000000000000_-;\-* #,##0.000000000000000_-;_-* &quot;-&quot;??_-;_-@_-"/>
    <numFmt numFmtId="208" formatCode="_-* #,##0.0000000000000000_-;\-* #,##0.0000000000000000_-;_-* &quot;-&quot;??_-;_-@_-"/>
    <numFmt numFmtId="209" formatCode="_-* #,##0.00000000000000000_-;\-* #,##0.00000000000000000_-;_-* &quot;-&quot;??_-;_-@_-"/>
    <numFmt numFmtId="210" formatCode="_-* #,##0.000000000000000000_-;\-* #,##0.000000000000000000_-;_-* &quot;-&quot;??_-;_-@_-"/>
    <numFmt numFmtId="211" formatCode="_-* #,##0.0000000000000000000_-;\-* #,##0.0000000000000000000_-;_-* &quot;-&quot;??_-;_-@_-"/>
    <numFmt numFmtId="212" formatCode="_-* #,##0.00000000000000000000_-;\-* #,##0.00000000000000000000_-;_-* &quot;-&quot;??_-;_-@_-"/>
    <numFmt numFmtId="213" formatCode="_-* #,##0.000000000000000000000_-;\-* #,##0.000000000000000000000_-;_-* &quot;-&quot;??_-;_-@_-"/>
    <numFmt numFmtId="214" formatCode="_-* #,##0.0000000000000000000000_-;\-* #,##0.0000000000000000000000_-;_-* &quot;-&quot;??_-;_-@_-"/>
    <numFmt numFmtId="215" formatCode="_-* #,##0.00000000000000000000000_-;\-* #,##0.00000000000000000000000_-;_-* &quot;-&quot;??_-;_-@_-"/>
    <numFmt numFmtId="216" formatCode="#,##0.0"/>
    <numFmt numFmtId="217" formatCode="_-* #,##0.0_-;\-* #,##0.0_-;_-* &quot;-&quot;?_-;_-@_-"/>
    <numFmt numFmtId="218" formatCode="&quot;ใช่&quot;;&quot;ใช่&quot;;&quot;ไม่ใช่&quot;"/>
    <numFmt numFmtId="219" formatCode="&quot;จริง&quot;;&quot;จริง&quot;;&quot;เท็จ&quot;"/>
    <numFmt numFmtId="220" formatCode="&quot;เปิด&quot;;&quot;เปิด&quot;;&quot;ปิด&quot;"/>
    <numFmt numFmtId="221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2"/>
      <name val="TH SarabunIT๙"/>
      <family val="2"/>
    </font>
    <font>
      <sz val="12"/>
      <name val="TH SarabunIT๙"/>
      <family val="2"/>
    </font>
    <font>
      <sz val="8"/>
      <name val="TH SarabunIT๙"/>
      <family val="2"/>
    </font>
    <font>
      <sz val="10"/>
      <name val="TH SarabunIT๙"/>
      <family val="2"/>
    </font>
    <font>
      <b/>
      <u val="single"/>
      <sz val="12"/>
      <name val="TH SarabunIT๙"/>
      <family val="2"/>
    </font>
    <font>
      <sz val="10"/>
      <color indexed="10"/>
      <name val="TH SarabunIT๙"/>
      <family val="2"/>
    </font>
    <font>
      <b/>
      <u val="single"/>
      <sz val="10"/>
      <name val="TH SarabunIT๙"/>
      <family val="2"/>
    </font>
    <font>
      <u val="single"/>
      <sz val="10"/>
      <name val="TH SarabunIT๙"/>
      <family val="2"/>
    </font>
    <font>
      <b/>
      <sz val="10"/>
      <name val="TH SarabunIT๙"/>
      <family val="2"/>
    </font>
    <font>
      <sz val="9"/>
      <name val="TH SarabunIT๙"/>
      <family val="2"/>
    </font>
    <font>
      <b/>
      <sz val="14"/>
      <name val="TH SarabunIT๙"/>
      <family val="2"/>
    </font>
    <font>
      <b/>
      <sz val="9"/>
      <name val="TH SarabunIT๙"/>
      <family val="2"/>
    </font>
    <font>
      <b/>
      <sz val="8"/>
      <name val="TH SarabunIT๙"/>
      <family val="2"/>
    </font>
    <font>
      <sz val="8.5"/>
      <name val="TH SarabunIT๙"/>
      <family val="2"/>
    </font>
    <font>
      <sz val="10"/>
      <color indexed="8"/>
      <name val="TH SarabunIT๙"/>
      <family val="2"/>
    </font>
    <font>
      <b/>
      <sz val="10"/>
      <color indexed="10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u val="single"/>
      <sz val="16"/>
      <name val="TH SarabunIT๙"/>
      <family val="2"/>
    </font>
    <font>
      <b/>
      <u val="single"/>
      <sz val="16"/>
      <name val="TH SarabunIT๙"/>
      <family val="2"/>
    </font>
    <font>
      <sz val="14"/>
      <name val="TH SarabunIT๙"/>
      <family val="2"/>
    </font>
    <font>
      <b/>
      <sz val="8.5"/>
      <name val="TH SarabunIT๙"/>
      <family val="2"/>
    </font>
    <font>
      <sz val="10"/>
      <name val="Tahoma"/>
      <family val="2"/>
    </font>
    <font>
      <b/>
      <sz val="11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IT๙"/>
      <family val="2"/>
    </font>
    <font>
      <u val="single"/>
      <sz val="12"/>
      <color indexed="8"/>
      <name val="TH SarabunIT๙"/>
      <family val="2"/>
    </font>
    <font>
      <sz val="12"/>
      <color indexed="10"/>
      <name val="TH SarabunIT๙"/>
      <family val="2"/>
    </font>
    <font>
      <sz val="10"/>
      <color indexed="60"/>
      <name val="TH SarabunIT๙"/>
      <family val="2"/>
    </font>
    <font>
      <u val="single"/>
      <sz val="10"/>
      <color indexed="8"/>
      <name val="TH SarabunIT๙"/>
      <family val="2"/>
    </font>
    <font>
      <sz val="11.5"/>
      <color indexed="8"/>
      <name val="TH SarabunIT๙"/>
      <family val="2"/>
    </font>
    <font>
      <sz val="10"/>
      <color indexed="8"/>
      <name val="Tahoma"/>
      <family val="2"/>
    </font>
    <font>
      <sz val="9"/>
      <color indexed="8"/>
      <name val="TH SarabunIT๙"/>
      <family val="2"/>
    </font>
    <font>
      <sz val="8"/>
      <color indexed="8"/>
      <name val="TH SarabunIT๙"/>
      <family val="2"/>
    </font>
    <font>
      <sz val="16"/>
      <color indexed="8"/>
      <name val="TH SarabunIT๙"/>
      <family val="2"/>
    </font>
    <font>
      <b/>
      <sz val="10"/>
      <color indexed="8"/>
      <name val="TH SarabunIT๙"/>
      <family val="2"/>
    </font>
    <font>
      <b/>
      <sz val="9"/>
      <color indexed="8"/>
      <name val="TH SarabunIT๙"/>
      <family val="2"/>
    </font>
    <font>
      <u val="single"/>
      <sz val="10"/>
      <color indexed="10"/>
      <name val="TH SarabunIT๙"/>
      <family val="2"/>
    </font>
    <font>
      <sz val="9"/>
      <color indexed="8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IT๙"/>
      <family val="2"/>
    </font>
    <font>
      <sz val="10"/>
      <color theme="1"/>
      <name val="TH SarabunIT๙"/>
      <family val="2"/>
    </font>
    <font>
      <u val="single"/>
      <sz val="12"/>
      <color theme="1"/>
      <name val="TH SarabunIT๙"/>
      <family val="2"/>
    </font>
    <font>
      <sz val="12"/>
      <color rgb="FFFF0000"/>
      <name val="TH SarabunIT๙"/>
      <family val="2"/>
    </font>
    <font>
      <sz val="10"/>
      <color rgb="FFC00000"/>
      <name val="TH SarabunIT๙"/>
      <family val="2"/>
    </font>
    <font>
      <u val="single"/>
      <sz val="10"/>
      <color theme="1"/>
      <name val="TH SarabunIT๙"/>
      <family val="2"/>
    </font>
    <font>
      <sz val="10"/>
      <color rgb="FFFF0000"/>
      <name val="TH SarabunIT๙"/>
      <family val="2"/>
    </font>
    <font>
      <sz val="11.5"/>
      <color theme="1"/>
      <name val="TH SarabunIT๙"/>
      <family val="2"/>
    </font>
    <font>
      <sz val="10"/>
      <color theme="1"/>
      <name val="Calibri"/>
      <family val="2"/>
    </font>
    <font>
      <sz val="9"/>
      <color theme="1"/>
      <name val="TH SarabunIT๙"/>
      <family val="2"/>
    </font>
    <font>
      <sz val="8"/>
      <color theme="1"/>
      <name val="TH SarabunIT๙"/>
      <family val="2"/>
    </font>
    <font>
      <sz val="16"/>
      <color theme="1"/>
      <name val="TH SarabunIT๙"/>
      <family val="2"/>
    </font>
    <font>
      <b/>
      <sz val="10"/>
      <color theme="1"/>
      <name val="TH SarabunIT๙"/>
      <family val="2"/>
    </font>
    <font>
      <b/>
      <sz val="9"/>
      <color theme="1"/>
      <name val="TH SarabunIT๙"/>
      <family val="2"/>
    </font>
    <font>
      <sz val="9"/>
      <color theme="1"/>
      <name val="Calibri"/>
      <family val="2"/>
    </font>
    <font>
      <u val="single"/>
      <sz val="10"/>
      <color rgb="FFFF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2" applyNumberFormat="0" applyAlignment="0" applyProtection="0"/>
    <xf numFmtId="0" fontId="67" fillId="0" borderId="3" applyNumberFormat="0" applyFill="0" applyAlignment="0" applyProtection="0"/>
    <xf numFmtId="0" fontId="6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23" borderId="1" applyNumberFormat="0" applyAlignment="0" applyProtection="0"/>
    <xf numFmtId="0" fontId="70" fillId="24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3" fillId="20" borderId="5" applyNumberFormat="0" applyAlignment="0" applyProtection="0"/>
    <xf numFmtId="0" fontId="0" fillId="32" borderId="6" applyNumberFormat="0" applyFont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35">
    <xf numFmtId="0" fontId="0" fillId="0" borderId="0" xfId="0" applyFont="1" applyAlignment="1">
      <alignment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0" fontId="78" fillId="0" borderId="1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7" fillId="0" borderId="0" xfId="0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187" fontId="77" fillId="0" borderId="0" xfId="40" applyNumberFormat="1" applyFont="1" applyAlignment="1">
      <alignment vertical="center"/>
    </xf>
    <xf numFmtId="0" fontId="80" fillId="0" borderId="0" xfId="0" applyFont="1" applyBorder="1" applyAlignment="1">
      <alignment vertical="center"/>
    </xf>
    <xf numFmtId="0" fontId="6" fillId="0" borderId="0" xfId="46" applyFont="1" applyBorder="1" applyAlignment="1">
      <alignment horizontal="center" vertical="center" wrapText="1"/>
      <protection/>
    </xf>
    <xf numFmtId="4" fontId="13" fillId="0" borderId="10" xfId="46" applyNumberFormat="1" applyFont="1" applyBorder="1" applyAlignment="1">
      <alignment horizontal="center" vertical="center" wrapText="1"/>
      <protection/>
    </xf>
    <xf numFmtId="187" fontId="77" fillId="0" borderId="0" xfId="40" applyNumberFormat="1" applyFont="1" applyBorder="1" applyAlignment="1">
      <alignment vertical="center"/>
    </xf>
    <xf numFmtId="0" fontId="78" fillId="0" borderId="12" xfId="0" applyFont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82" fillId="0" borderId="10" xfId="0" applyFont="1" applyBorder="1" applyAlignment="1">
      <alignment vertical="center"/>
    </xf>
    <xf numFmtId="187" fontId="6" fillId="0" borderId="13" xfId="40" applyNumberFormat="1" applyFont="1" applyBorder="1" applyAlignment="1">
      <alignment horizontal="right" wrapText="1"/>
    </xf>
    <xf numFmtId="0" fontId="11" fillId="0" borderId="10" xfId="0" applyFont="1" applyBorder="1" applyAlignment="1">
      <alignment vertical="center"/>
    </xf>
    <xf numFmtId="187" fontId="6" fillId="0" borderId="10" xfId="40" applyNumberFormat="1" applyFont="1" applyBorder="1" applyAlignment="1">
      <alignment horizontal="center" wrapText="1"/>
    </xf>
    <xf numFmtId="187" fontId="78" fillId="0" borderId="10" xfId="40" applyNumberFormat="1" applyFont="1" applyBorder="1" applyAlignment="1">
      <alignment/>
    </xf>
    <xf numFmtId="0" fontId="78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11" xfId="46" applyNumberFormat="1" applyFont="1" applyBorder="1" applyAlignment="1">
      <alignment horizontal="right" wrapText="1"/>
      <protection/>
    </xf>
    <xf numFmtId="0" fontId="78" fillId="0" borderId="10" xfId="46" applyFont="1" applyFill="1" applyBorder="1" applyAlignment="1">
      <alignment horizontal="center" wrapText="1"/>
      <protection/>
    </xf>
    <xf numFmtId="0" fontId="82" fillId="0" borderId="0" xfId="0" applyFont="1" applyBorder="1" applyAlignment="1">
      <alignment vertical="center"/>
    </xf>
    <xf numFmtId="0" fontId="6" fillId="0" borderId="14" xfId="46" applyFont="1" applyBorder="1" applyAlignment="1">
      <alignment horizontal="center" wrapText="1"/>
      <protection/>
    </xf>
    <xf numFmtId="0" fontId="6" fillId="0" borderId="0" xfId="46" applyFont="1" applyBorder="1" applyAlignment="1">
      <alignment horizontal="center" wrapText="1"/>
      <protection/>
    </xf>
    <xf numFmtId="0" fontId="78" fillId="0" borderId="0" xfId="0" applyFont="1" applyBorder="1" applyAlignment="1">
      <alignment/>
    </xf>
    <xf numFmtId="0" fontId="6" fillId="0" borderId="10" xfId="46" applyFont="1" applyBorder="1" applyAlignment="1">
      <alignment horizontal="center" wrapText="1"/>
      <protection/>
    </xf>
    <xf numFmtId="3" fontId="6" fillId="0" borderId="13" xfId="46" applyNumberFormat="1" applyFont="1" applyBorder="1" applyAlignment="1">
      <alignment horizontal="right" wrapText="1"/>
      <protection/>
    </xf>
    <xf numFmtId="0" fontId="78" fillId="0" borderId="10" xfId="0" applyFont="1" applyBorder="1" applyAlignment="1">
      <alignment/>
    </xf>
    <xf numFmtId="3" fontId="6" fillId="0" borderId="0" xfId="46" applyNumberFormat="1" applyFont="1" applyBorder="1" applyAlignment="1">
      <alignment horizontal="right" wrapText="1"/>
      <protection/>
    </xf>
    <xf numFmtId="187" fontId="78" fillId="0" borderId="10" xfId="40" applyNumberFormat="1" applyFont="1" applyBorder="1" applyAlignment="1">
      <alignment horizontal="right" wrapText="1"/>
    </xf>
    <xf numFmtId="0" fontId="78" fillId="0" borderId="10" xfId="46" applyFont="1" applyBorder="1" applyAlignment="1">
      <alignment horizontal="center" wrapText="1"/>
      <protection/>
    </xf>
    <xf numFmtId="43" fontId="78" fillId="0" borderId="10" xfId="40" applyFont="1" applyBorder="1" applyAlignment="1">
      <alignment/>
    </xf>
    <xf numFmtId="0" fontId="78" fillId="0" borderId="14" xfId="0" applyFont="1" applyBorder="1" applyAlignment="1">
      <alignment horizontal="center"/>
    </xf>
    <xf numFmtId="0" fontId="11" fillId="0" borderId="10" xfId="46" applyFont="1" applyBorder="1" applyAlignment="1">
      <alignment horizontal="center" wrapText="1"/>
      <protection/>
    </xf>
    <xf numFmtId="0" fontId="11" fillId="0" borderId="11" xfId="46" applyFont="1" applyBorder="1" applyAlignment="1">
      <alignment horizontal="center" wrapText="1"/>
      <protection/>
    </xf>
    <xf numFmtId="0" fontId="11" fillId="0" borderId="10" xfId="46" applyFont="1" applyBorder="1" applyAlignment="1">
      <alignment wrapText="1"/>
      <protection/>
    </xf>
    <xf numFmtId="4" fontId="11" fillId="0" borderId="0" xfId="46" applyNumberFormat="1" applyFont="1" applyBorder="1" applyAlignment="1">
      <alignment horizontal="center" wrapText="1"/>
      <protection/>
    </xf>
    <xf numFmtId="3" fontId="11" fillId="0" borderId="0" xfId="46" applyNumberFormat="1" applyFont="1" applyBorder="1" applyAlignment="1">
      <alignment horizontal="center" wrapText="1"/>
      <protection/>
    </xf>
    <xf numFmtId="0" fontId="78" fillId="0" borderId="0" xfId="0" applyFont="1" applyAlignment="1">
      <alignment/>
    </xf>
    <xf numFmtId="0" fontId="6" fillId="0" borderId="11" xfId="46" applyFont="1" applyBorder="1" applyAlignment="1">
      <alignment horizontal="center" wrapText="1"/>
      <protection/>
    </xf>
    <xf numFmtId="0" fontId="4" fillId="0" borderId="15" xfId="46" applyFont="1" applyBorder="1" applyAlignment="1">
      <alignment horizontal="center" wrapText="1"/>
      <protection/>
    </xf>
    <xf numFmtId="0" fontId="6" fillId="0" borderId="12" xfId="46" applyFont="1" applyBorder="1" applyAlignment="1">
      <alignment horizontal="center" wrapText="1"/>
      <protection/>
    </xf>
    <xf numFmtId="0" fontId="12" fillId="0" borderId="12" xfId="46" applyFont="1" applyBorder="1" applyAlignment="1">
      <alignment wrapText="1"/>
      <protection/>
    </xf>
    <xf numFmtId="0" fontId="77" fillId="0" borderId="0" xfId="0" applyFont="1" applyAlignment="1">
      <alignment horizontal="center"/>
    </xf>
    <xf numFmtId="0" fontId="77" fillId="0" borderId="12" xfId="0" applyFont="1" applyBorder="1" applyAlignment="1">
      <alignment horizontal="center"/>
    </xf>
    <xf numFmtId="0" fontId="4" fillId="0" borderId="16" xfId="46" applyFont="1" applyBorder="1" applyAlignment="1">
      <alignment horizontal="center" wrapText="1"/>
      <protection/>
    </xf>
    <xf numFmtId="0" fontId="4" fillId="0" borderId="13" xfId="46" applyFont="1" applyBorder="1" applyAlignment="1">
      <alignment horizontal="center" wrapText="1"/>
      <protection/>
    </xf>
    <xf numFmtId="0" fontId="5" fillId="0" borderId="13" xfId="46" applyFont="1" applyBorder="1" applyAlignment="1">
      <alignment horizontal="center" wrapText="1"/>
      <protection/>
    </xf>
    <xf numFmtId="0" fontId="6" fillId="0" borderId="17" xfId="46" applyFont="1" applyBorder="1" applyAlignment="1">
      <alignment wrapText="1"/>
      <protection/>
    </xf>
    <xf numFmtId="0" fontId="6" fillId="0" borderId="13" xfId="46" applyFont="1" applyBorder="1" applyAlignment="1">
      <alignment horizontal="center" wrapText="1"/>
      <protection/>
    </xf>
    <xf numFmtId="0" fontId="9" fillId="0" borderId="10" xfId="46" applyFont="1" applyBorder="1" applyAlignment="1">
      <alignment horizontal="center" wrapText="1"/>
      <protection/>
    </xf>
    <xf numFmtId="0" fontId="11" fillId="0" borderId="11" xfId="46" applyFont="1" applyBorder="1" applyAlignment="1">
      <alignment horizontal="left" wrapText="1"/>
      <protection/>
    </xf>
    <xf numFmtId="0" fontId="6" fillId="0" borderId="10" xfId="46" applyFont="1" applyBorder="1" applyAlignment="1">
      <alignment horizontal="left" wrapText="1"/>
      <protection/>
    </xf>
    <xf numFmtId="0" fontId="6" fillId="0" borderId="10" xfId="46" applyFont="1" applyFill="1" applyBorder="1" applyAlignment="1">
      <alignment horizontal="center" wrapText="1"/>
      <protection/>
    </xf>
    <xf numFmtId="0" fontId="6" fillId="0" borderId="10" xfId="46" applyFont="1" applyFill="1" applyBorder="1" applyAlignment="1">
      <alignment wrapText="1"/>
      <protection/>
    </xf>
    <xf numFmtId="0" fontId="6" fillId="0" borderId="11" xfId="46" applyFont="1" applyFill="1" applyBorder="1" applyAlignment="1">
      <alignment horizontal="center" wrapText="1"/>
      <protection/>
    </xf>
    <xf numFmtId="0" fontId="6" fillId="0" borderId="17" xfId="46" applyFont="1" applyFill="1" applyBorder="1" applyAlignment="1">
      <alignment wrapText="1"/>
      <protection/>
    </xf>
    <xf numFmtId="0" fontId="6" fillId="0" borderId="18" xfId="46" applyFont="1" applyFill="1" applyBorder="1" applyAlignment="1">
      <alignment horizontal="center" wrapText="1"/>
      <protection/>
    </xf>
    <xf numFmtId="0" fontId="6" fillId="0" borderId="19" xfId="46" applyFont="1" applyFill="1" applyBorder="1" applyAlignment="1">
      <alignment horizontal="center" wrapText="1"/>
      <protection/>
    </xf>
    <xf numFmtId="0" fontId="6" fillId="0" borderId="13" xfId="46" applyFont="1" applyFill="1" applyBorder="1" applyAlignment="1" quotePrefix="1">
      <alignment horizontal="center" wrapText="1"/>
      <protection/>
    </xf>
    <xf numFmtId="0" fontId="6" fillId="0" borderId="20" xfId="46" applyFont="1" applyFill="1" applyBorder="1" applyAlignment="1">
      <alignment horizontal="center" wrapText="1"/>
      <protection/>
    </xf>
    <xf numFmtId="0" fontId="6" fillId="0" borderId="17" xfId="46" applyFont="1" applyFill="1" applyBorder="1" applyAlignment="1">
      <alignment horizontal="center" wrapText="1"/>
      <protection/>
    </xf>
    <xf numFmtId="0" fontId="6" fillId="0" borderId="20" xfId="46" applyFont="1" applyBorder="1" applyAlignment="1">
      <alignment horizontal="center" wrapText="1"/>
      <protection/>
    </xf>
    <xf numFmtId="0" fontId="9" fillId="0" borderId="13" xfId="46" applyFont="1" applyBorder="1" applyAlignment="1">
      <alignment wrapText="1"/>
      <protection/>
    </xf>
    <xf numFmtId="0" fontId="78" fillId="0" borderId="10" xfId="0" applyFont="1" applyBorder="1" applyAlignment="1">
      <alignment horizontal="center"/>
    </xf>
    <xf numFmtId="0" fontId="11" fillId="0" borderId="21" xfId="47" applyFont="1" applyBorder="1" applyAlignment="1">
      <alignment/>
      <protection/>
    </xf>
    <xf numFmtId="0" fontId="10" fillId="0" borderId="10" xfId="46" applyFont="1" applyBorder="1" applyAlignment="1">
      <alignment horizontal="center" wrapText="1"/>
      <protection/>
    </xf>
    <xf numFmtId="0" fontId="10" fillId="0" borderId="10" xfId="46" applyFont="1" applyBorder="1" applyAlignment="1">
      <alignment wrapText="1"/>
      <protection/>
    </xf>
    <xf numFmtId="0" fontId="6" fillId="0" borderId="10" xfId="47" applyFont="1" applyFill="1" applyBorder="1" applyAlignment="1">
      <alignment/>
      <protection/>
    </xf>
    <xf numFmtId="0" fontId="4" fillId="0" borderId="10" xfId="46" applyFont="1" applyBorder="1" applyAlignment="1">
      <alignment horizontal="center" wrapText="1"/>
      <protection/>
    </xf>
    <xf numFmtId="0" fontId="6" fillId="0" borderId="10" xfId="47" applyFont="1" applyBorder="1" applyAlignment="1">
      <alignment horizontal="left"/>
      <protection/>
    </xf>
    <xf numFmtId="0" fontId="6" fillId="0" borderId="14" xfId="46" applyFont="1" applyBorder="1" applyAlignment="1">
      <alignment horizontal="left" wrapText="1"/>
      <protection/>
    </xf>
    <xf numFmtId="0" fontId="17" fillId="0" borderId="11" xfId="46" applyFont="1" applyBorder="1" applyAlignment="1">
      <alignment horizontal="center" wrapText="1"/>
      <protection/>
    </xf>
    <xf numFmtId="0" fontId="6" fillId="0" borderId="17" xfId="46" applyFont="1" applyBorder="1" applyAlignment="1">
      <alignment horizontal="left" wrapText="1"/>
      <protection/>
    </xf>
    <xf numFmtId="0" fontId="6" fillId="0" borderId="11" xfId="46" applyFont="1" applyBorder="1" applyAlignment="1">
      <alignment wrapText="1"/>
      <protection/>
    </xf>
    <xf numFmtId="0" fontId="6" fillId="0" borderId="11" xfId="46" applyFont="1" applyFill="1" applyBorder="1" applyAlignment="1">
      <alignment wrapText="1"/>
      <protection/>
    </xf>
    <xf numFmtId="0" fontId="78" fillId="0" borderId="20" xfId="0" applyFont="1" applyBorder="1" applyAlignment="1">
      <alignment horizontal="center"/>
    </xf>
    <xf numFmtId="0" fontId="6" fillId="0" borderId="11" xfId="46" applyFont="1" applyBorder="1" applyAlignment="1">
      <alignment/>
      <protection/>
    </xf>
    <xf numFmtId="0" fontId="6" fillId="0" borderId="17" xfId="46" applyFont="1" applyBorder="1" applyAlignment="1">
      <alignment horizontal="center"/>
      <protection/>
    </xf>
    <xf numFmtId="0" fontId="6" fillId="0" borderId="10" xfId="46" applyFont="1" applyBorder="1" applyAlignment="1">
      <alignment wrapText="1"/>
      <protection/>
    </xf>
    <xf numFmtId="0" fontId="11" fillId="0" borderId="13" xfId="46" applyFont="1" applyBorder="1" applyAlignment="1">
      <alignment horizontal="left" wrapText="1"/>
      <protection/>
    </xf>
    <xf numFmtId="0" fontId="6" fillId="0" borderId="13" xfId="46" applyFont="1" applyBorder="1" applyAlignment="1">
      <alignment wrapText="1"/>
      <protection/>
    </xf>
    <xf numFmtId="0" fontId="6" fillId="0" borderId="12" xfId="46" applyFont="1" applyBorder="1" applyAlignment="1">
      <alignment wrapText="1"/>
      <protection/>
    </xf>
    <xf numFmtId="0" fontId="6" fillId="0" borderId="10" xfId="46" applyFont="1" applyBorder="1" applyAlignment="1">
      <alignment horizontal="center"/>
      <protection/>
    </xf>
    <xf numFmtId="0" fontId="6" fillId="0" borderId="10" xfId="46" applyFont="1" applyBorder="1" applyAlignment="1">
      <alignment/>
      <protection/>
    </xf>
    <xf numFmtId="0" fontId="11" fillId="0" borderId="10" xfId="46" applyFont="1" applyBorder="1" applyAlignment="1">
      <alignment/>
      <protection/>
    </xf>
    <xf numFmtId="0" fontId="11" fillId="0" borderId="13" xfId="46" applyFont="1" applyBorder="1" applyAlignment="1">
      <alignment/>
      <protection/>
    </xf>
    <xf numFmtId="0" fontId="5" fillId="0" borderId="13" xfId="46" applyFont="1" applyBorder="1" applyAlignment="1">
      <alignment horizontal="center"/>
      <protection/>
    </xf>
    <xf numFmtId="0" fontId="5" fillId="0" borderId="10" xfId="46" applyFont="1" applyBorder="1" applyAlignment="1">
      <alignment horizontal="center"/>
      <protection/>
    </xf>
    <xf numFmtId="0" fontId="78" fillId="0" borderId="11" xfId="0" applyFont="1" applyBorder="1" applyAlignment="1">
      <alignment horizontal="center"/>
    </xf>
    <xf numFmtId="0" fontId="6" fillId="0" borderId="11" xfId="47" applyFont="1" applyBorder="1" applyAlignment="1">
      <alignment/>
      <protection/>
    </xf>
    <xf numFmtId="0" fontId="6" fillId="0" borderId="11" xfId="47" applyFont="1" applyFill="1" applyBorder="1" applyAlignment="1">
      <alignment/>
      <protection/>
    </xf>
    <xf numFmtId="0" fontId="78" fillId="0" borderId="13" xfId="0" applyFont="1" applyBorder="1" applyAlignment="1">
      <alignment horizontal="center"/>
    </xf>
    <xf numFmtId="0" fontId="6" fillId="0" borderId="13" xfId="47" applyFont="1" applyFill="1" applyBorder="1" applyAlignment="1">
      <alignment/>
      <protection/>
    </xf>
    <xf numFmtId="0" fontId="6" fillId="0" borderId="11" xfId="46" applyFont="1" applyBorder="1" applyAlignment="1">
      <alignment horizontal="center"/>
      <protection/>
    </xf>
    <xf numFmtId="0" fontId="6" fillId="0" borderId="12" xfId="46" applyFont="1" applyBorder="1" applyAlignment="1">
      <alignment horizontal="center"/>
      <protection/>
    </xf>
    <xf numFmtId="0" fontId="83" fillId="0" borderId="10" xfId="46" applyFont="1" applyFill="1" applyBorder="1" applyAlignment="1">
      <alignment wrapText="1"/>
      <protection/>
    </xf>
    <xf numFmtId="0" fontId="11" fillId="0" borderId="10" xfId="46" applyFont="1" applyFill="1" applyBorder="1" applyAlignment="1">
      <alignment wrapText="1"/>
      <protection/>
    </xf>
    <xf numFmtId="0" fontId="6" fillId="0" borderId="10" xfId="47" applyFont="1" applyBorder="1" applyAlignment="1">
      <alignment/>
      <protection/>
    </xf>
    <xf numFmtId="0" fontId="6" fillId="0" borderId="10" xfId="47" applyFont="1" applyBorder="1" applyAlignment="1">
      <alignment horizontal="center"/>
      <protection/>
    </xf>
    <xf numFmtId="0" fontId="9" fillId="0" borderId="10" xfId="47" applyFont="1" applyBorder="1" applyAlignment="1">
      <alignment/>
      <protection/>
    </xf>
    <xf numFmtId="187" fontId="84" fillId="0" borderId="10" xfId="40" applyNumberFormat="1" applyFont="1" applyBorder="1" applyAlignment="1">
      <alignment/>
    </xf>
    <xf numFmtId="187" fontId="78" fillId="0" borderId="10" xfId="40" applyNumberFormat="1" applyFont="1" applyBorder="1" applyAlignment="1">
      <alignment horizontal="center"/>
    </xf>
    <xf numFmtId="187" fontId="84" fillId="0" borderId="11" xfId="40" applyNumberFormat="1" applyFont="1" applyBorder="1" applyAlignment="1">
      <alignment/>
    </xf>
    <xf numFmtId="0" fontId="77" fillId="0" borderId="10" xfId="0" applyFont="1" applyBorder="1" applyAlignment="1">
      <alignment horizontal="center"/>
    </xf>
    <xf numFmtId="0" fontId="6" fillId="0" borderId="10" xfId="46" applyFont="1" applyBorder="1" applyAlignment="1" quotePrefix="1">
      <alignment horizontal="center"/>
      <protection/>
    </xf>
    <xf numFmtId="0" fontId="16" fillId="0" borderId="17" xfId="46" applyFont="1" applyBorder="1" applyAlignment="1">
      <alignment horizontal="left" wrapText="1"/>
      <protection/>
    </xf>
    <xf numFmtId="0" fontId="6" fillId="0" borderId="20" xfId="46" applyFont="1" applyFill="1" applyBorder="1" applyAlignment="1">
      <alignment wrapText="1"/>
      <protection/>
    </xf>
    <xf numFmtId="187" fontId="6" fillId="0" borderId="10" xfId="40" applyNumberFormat="1" applyFont="1" applyBorder="1" applyAlignment="1">
      <alignment horizontal="center"/>
    </xf>
    <xf numFmtId="187" fontId="6" fillId="0" borderId="10" xfId="40" applyNumberFormat="1" applyFont="1" applyBorder="1" applyAlignment="1">
      <alignment horizontal="left"/>
    </xf>
    <xf numFmtId="0" fontId="85" fillId="0" borderId="17" xfId="0" applyFont="1" applyBorder="1" applyAlignment="1">
      <alignment/>
    </xf>
    <xf numFmtId="187" fontId="6" fillId="0" borderId="11" xfId="40" applyNumberFormat="1" applyFont="1" applyBorder="1" applyAlignment="1">
      <alignment horizontal="center" wrapText="1"/>
    </xf>
    <xf numFmtId="187" fontId="5" fillId="0" borderId="10" xfId="40" applyNumberFormat="1" applyFont="1" applyBorder="1" applyAlignment="1">
      <alignment wrapText="1"/>
    </xf>
    <xf numFmtId="0" fontId="14" fillId="0" borderId="0" xfId="46" applyFont="1" applyBorder="1" applyAlignment="1">
      <alignment horizontal="left" wrapText="1"/>
      <protection/>
    </xf>
    <xf numFmtId="0" fontId="85" fillId="0" borderId="0" xfId="0" applyFont="1" applyBorder="1" applyAlignment="1">
      <alignment/>
    </xf>
    <xf numFmtId="0" fontId="12" fillId="0" borderId="0" xfId="46" applyFont="1" applyBorder="1" applyAlignment="1">
      <alignment horizontal="center" wrapText="1"/>
      <protection/>
    </xf>
    <xf numFmtId="0" fontId="7" fillId="0" borderId="0" xfId="46" applyFont="1" applyBorder="1" applyAlignment="1" quotePrefix="1">
      <alignment horizontal="right" wrapText="1"/>
      <protection/>
    </xf>
    <xf numFmtId="0" fontId="5" fillId="0" borderId="0" xfId="46" applyFont="1" applyBorder="1" applyAlignment="1">
      <alignment horizontal="center" wrapText="1"/>
      <protection/>
    </xf>
    <xf numFmtId="0" fontId="86" fillId="0" borderId="0" xfId="0" applyFont="1" applyAlignment="1">
      <alignment horizontal="center"/>
    </xf>
    <xf numFmtId="0" fontId="77" fillId="0" borderId="0" xfId="0" applyFont="1" applyAlignment="1">
      <alignment/>
    </xf>
    <xf numFmtId="0" fontId="87" fillId="0" borderId="0" xfId="0" applyFont="1" applyAlignment="1">
      <alignment horizontal="center"/>
    </xf>
    <xf numFmtId="0" fontId="87" fillId="0" borderId="0" xfId="0" applyFont="1" applyAlignment="1">
      <alignment/>
    </xf>
    <xf numFmtId="187" fontId="87" fillId="0" borderId="0" xfId="40" applyNumberFormat="1" applyFont="1" applyAlignment="1">
      <alignment/>
    </xf>
    <xf numFmtId="0" fontId="4" fillId="0" borderId="0" xfId="46" applyFont="1" applyBorder="1" applyAlignment="1">
      <alignment horizontal="center" wrapText="1"/>
      <protection/>
    </xf>
    <xf numFmtId="0" fontId="6" fillId="0" borderId="0" xfId="47" applyFont="1" applyFill="1" applyBorder="1" applyAlignment="1">
      <alignment/>
      <protection/>
    </xf>
    <xf numFmtId="0" fontId="6" fillId="0" borderId="0" xfId="0" applyFont="1" applyBorder="1" applyAlignment="1">
      <alignment horizontal="center" vertical="center"/>
    </xf>
    <xf numFmtId="0" fontId="6" fillId="0" borderId="14" xfId="47" applyFont="1" applyFill="1" applyBorder="1" applyAlignment="1">
      <alignment/>
      <protection/>
    </xf>
    <xf numFmtId="0" fontId="4" fillId="0" borderId="14" xfId="46" applyFont="1" applyBorder="1" applyAlignment="1">
      <alignment horizontal="center" wrapText="1"/>
      <protection/>
    </xf>
    <xf numFmtId="3" fontId="6" fillId="0" borderId="14" xfId="46" applyNumberFormat="1" applyFont="1" applyBorder="1" applyAlignment="1">
      <alignment horizontal="right" wrapText="1"/>
      <protection/>
    </xf>
    <xf numFmtId="187" fontId="6" fillId="0" borderId="14" xfId="40" applyNumberFormat="1" applyFont="1" applyBorder="1" applyAlignment="1" quotePrefix="1">
      <alignment horizontal="center" wrapText="1"/>
    </xf>
    <xf numFmtId="187" fontId="6" fillId="0" borderId="14" xfId="40" applyNumberFormat="1" applyFont="1" applyBorder="1" applyAlignment="1">
      <alignment wrapText="1"/>
    </xf>
    <xf numFmtId="0" fontId="78" fillId="0" borderId="11" xfId="46" applyFont="1" applyBorder="1" applyAlignment="1">
      <alignment horizontal="center" wrapText="1"/>
      <protection/>
    </xf>
    <xf numFmtId="0" fontId="79" fillId="0" borderId="0" xfId="0" applyFont="1" applyFill="1" applyAlignment="1">
      <alignment vertical="center"/>
    </xf>
    <xf numFmtId="0" fontId="78" fillId="0" borderId="14" xfId="46" applyFont="1" applyBorder="1" applyAlignment="1">
      <alignment horizontal="center" wrapText="1"/>
      <protection/>
    </xf>
    <xf numFmtId="187" fontId="6" fillId="0" borderId="14" xfId="38" applyNumberFormat="1" applyFont="1" applyFill="1" applyBorder="1" applyAlignment="1">
      <alignment horizontal="right" wrapText="1"/>
    </xf>
    <xf numFmtId="187" fontId="6" fillId="0" borderId="14" xfId="40" applyNumberFormat="1" applyFont="1" applyBorder="1" applyAlignment="1">
      <alignment horizontal="right" wrapText="1"/>
    </xf>
    <xf numFmtId="187" fontId="14" fillId="0" borderId="10" xfId="46" applyNumberFormat="1" applyFont="1" applyBorder="1" applyAlignment="1">
      <alignment horizontal="center" wrapText="1"/>
      <protection/>
    </xf>
    <xf numFmtId="0" fontId="6" fillId="0" borderId="13" xfId="46" applyFont="1" applyBorder="1" applyAlignment="1">
      <alignment horizontal="center"/>
      <protection/>
    </xf>
    <xf numFmtId="0" fontId="6" fillId="0" borderId="15" xfId="46" applyFont="1" applyBorder="1" applyAlignment="1">
      <alignment horizontal="center"/>
      <protection/>
    </xf>
    <xf numFmtId="0" fontId="6" fillId="0" borderId="21" xfId="46" applyFont="1" applyBorder="1" applyAlignment="1">
      <alignment horizontal="center"/>
      <protection/>
    </xf>
    <xf numFmtId="0" fontId="6" fillId="0" borderId="18" xfId="47" applyFont="1" applyFill="1" applyBorder="1" applyAlignment="1">
      <alignment horizontal="left"/>
      <protection/>
    </xf>
    <xf numFmtId="0" fontId="9" fillId="0" borderId="11" xfId="47" applyFont="1" applyFill="1" applyBorder="1" applyAlignment="1">
      <alignment horizontal="center"/>
      <protection/>
    </xf>
    <xf numFmtId="0" fontId="11" fillId="0" borderId="13" xfId="47" applyFont="1" applyFill="1" applyBorder="1" applyAlignment="1">
      <alignment horizontal="left"/>
      <protection/>
    </xf>
    <xf numFmtId="0" fontId="9" fillId="0" borderId="15" xfId="47" applyFont="1" applyFill="1" applyBorder="1" applyAlignment="1">
      <alignment horizontal="center"/>
      <protection/>
    </xf>
    <xf numFmtId="0" fontId="11" fillId="0" borderId="21" xfId="47" applyFont="1" applyFill="1" applyBorder="1" applyAlignment="1">
      <alignment horizontal="left"/>
      <protection/>
    </xf>
    <xf numFmtId="0" fontId="17" fillId="0" borderId="12" xfId="46" applyFont="1" applyBorder="1" applyAlignment="1">
      <alignment horizontal="center" wrapText="1"/>
      <protection/>
    </xf>
    <xf numFmtId="0" fontId="10" fillId="0" borderId="13" xfId="0" applyFont="1" applyBorder="1" applyAlignment="1">
      <alignment vertical="center"/>
    </xf>
    <xf numFmtId="187" fontId="6" fillId="0" borderId="11" xfId="40" applyNumberFormat="1" applyFont="1" applyBorder="1" applyAlignment="1">
      <alignment horizontal="right" wrapText="1"/>
    </xf>
    <xf numFmtId="0" fontId="6" fillId="0" borderId="11" xfId="46" applyFont="1" applyBorder="1" applyAlignment="1">
      <alignment horizontal="right"/>
      <protection/>
    </xf>
    <xf numFmtId="3" fontId="6" fillId="0" borderId="11" xfId="46" applyNumberFormat="1" applyFont="1" applyBorder="1" applyAlignment="1">
      <alignment/>
      <protection/>
    </xf>
    <xf numFmtId="187" fontId="6" fillId="0" borderId="13" xfId="40" applyNumberFormat="1" applyFont="1" applyBorder="1" applyAlignment="1">
      <alignment horizontal="center" wrapText="1"/>
    </xf>
    <xf numFmtId="0" fontId="6" fillId="0" borderId="13" xfId="46" applyFont="1" applyBorder="1" applyAlignment="1">
      <alignment horizontal="right"/>
      <protection/>
    </xf>
    <xf numFmtId="3" fontId="6" fillId="0" borderId="13" xfId="46" applyNumberFormat="1" applyFont="1" applyBorder="1" applyAlignment="1">
      <alignment/>
      <protection/>
    </xf>
    <xf numFmtId="187" fontId="84" fillId="0" borderId="0" xfId="40" applyNumberFormat="1" applyFont="1" applyBorder="1" applyAlignment="1">
      <alignment/>
    </xf>
    <xf numFmtId="0" fontId="78" fillId="0" borderId="0" xfId="46" applyFont="1" applyBorder="1" applyAlignment="1">
      <alignment horizontal="center" wrapText="1"/>
      <protection/>
    </xf>
    <xf numFmtId="187" fontId="84" fillId="0" borderId="14" xfId="40" applyNumberFormat="1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22" xfId="47" applyFont="1" applyFill="1" applyBorder="1" applyAlignment="1">
      <alignment/>
      <protection/>
    </xf>
    <xf numFmtId="0" fontId="4" fillId="0" borderId="22" xfId="46" applyFont="1" applyBorder="1" applyAlignment="1">
      <alignment horizontal="center" wrapText="1"/>
      <protection/>
    </xf>
    <xf numFmtId="0" fontId="78" fillId="0" borderId="22" xfId="46" applyFont="1" applyBorder="1" applyAlignment="1">
      <alignment horizontal="center" wrapText="1"/>
      <protection/>
    </xf>
    <xf numFmtId="3" fontId="6" fillId="0" borderId="22" xfId="46" applyNumberFormat="1" applyFont="1" applyBorder="1" applyAlignment="1">
      <alignment horizontal="right" wrapText="1"/>
      <protection/>
    </xf>
    <xf numFmtId="0" fontId="15" fillId="0" borderId="10" xfId="46" applyFont="1" applyBorder="1" applyAlignment="1">
      <alignment horizontal="center" wrapText="1"/>
      <protection/>
    </xf>
    <xf numFmtId="187" fontId="15" fillId="0" borderId="13" xfId="40" applyNumberFormat="1" applyFont="1" applyBorder="1" applyAlignment="1">
      <alignment horizontal="center" wrapText="1"/>
    </xf>
    <xf numFmtId="3" fontId="14" fillId="0" borderId="11" xfId="46" applyNumberFormat="1" applyFont="1" applyBorder="1" applyAlignment="1">
      <alignment horizontal="center" wrapText="1"/>
      <protection/>
    </xf>
    <xf numFmtId="0" fontId="3" fillId="0" borderId="0" xfId="46" applyFont="1" applyBorder="1" applyAlignment="1">
      <alignment vertical="center" wrapText="1"/>
      <protection/>
    </xf>
    <xf numFmtId="0" fontId="15" fillId="0" borderId="19" xfId="46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right" vertical="center"/>
    </xf>
    <xf numFmtId="3" fontId="15" fillId="0" borderId="10" xfId="46" applyNumberFormat="1" applyFont="1" applyBorder="1" applyAlignment="1">
      <alignment horizontal="right" wrapText="1"/>
      <protection/>
    </xf>
    <xf numFmtId="0" fontId="14" fillId="0" borderId="0" xfId="46" applyFont="1" applyBorder="1" applyAlignment="1">
      <alignment wrapText="1"/>
      <protection/>
    </xf>
    <xf numFmtId="0" fontId="6" fillId="0" borderId="22" xfId="46" applyFont="1" applyBorder="1" applyAlignment="1">
      <alignment horizontal="center" wrapText="1"/>
      <protection/>
    </xf>
    <xf numFmtId="187" fontId="19" fillId="0" borderId="0" xfId="40" applyNumberFormat="1" applyFont="1" applyBorder="1" applyAlignment="1">
      <alignment horizontal="center" wrapText="1"/>
    </xf>
    <xf numFmtId="0" fontId="20" fillId="0" borderId="0" xfId="46" applyFont="1" applyBorder="1" applyAlignment="1">
      <alignment wrapText="1"/>
      <protection/>
    </xf>
    <xf numFmtId="0" fontId="19" fillId="0" borderId="0" xfId="46" applyFont="1" applyBorder="1" applyAlignment="1">
      <alignment wrapText="1"/>
      <protection/>
    </xf>
    <xf numFmtId="187" fontId="19" fillId="0" borderId="0" xfId="40" applyNumberFormat="1" applyFont="1" applyBorder="1" applyAlignment="1">
      <alignment wrapText="1"/>
    </xf>
    <xf numFmtId="4" fontId="20" fillId="0" borderId="0" xfId="46" applyNumberFormat="1" applyFont="1" applyBorder="1" applyAlignment="1">
      <alignment horizontal="center" wrapText="1"/>
      <protection/>
    </xf>
    <xf numFmtId="0" fontId="21" fillId="0" borderId="0" xfId="46" applyFont="1" applyBorder="1" applyAlignment="1">
      <alignment wrapText="1"/>
      <protection/>
    </xf>
    <xf numFmtId="0" fontId="22" fillId="0" borderId="0" xfId="46" applyFont="1" applyBorder="1" applyAlignment="1">
      <alignment wrapText="1"/>
      <protection/>
    </xf>
    <xf numFmtId="0" fontId="22" fillId="0" borderId="0" xfId="46" applyFont="1" applyBorder="1" applyAlignment="1">
      <alignment horizontal="center" wrapText="1"/>
      <protection/>
    </xf>
    <xf numFmtId="0" fontId="88" fillId="0" borderId="0" xfId="0" applyFont="1" applyAlignment="1">
      <alignment/>
    </xf>
    <xf numFmtId="187" fontId="88" fillId="0" borderId="0" xfId="40" applyNumberFormat="1" applyFont="1" applyAlignment="1">
      <alignment/>
    </xf>
    <xf numFmtId="0" fontId="88" fillId="0" borderId="0" xfId="0" applyFont="1" applyAlignment="1">
      <alignment horizontal="center"/>
    </xf>
    <xf numFmtId="187" fontId="6" fillId="0" borderId="22" xfId="40" applyNumberFormat="1" applyFont="1" applyBorder="1" applyAlignment="1">
      <alignment wrapText="1"/>
    </xf>
    <xf numFmtId="187" fontId="6" fillId="0" borderId="22" xfId="38" applyNumberFormat="1" applyFont="1" applyFill="1" applyBorder="1" applyAlignment="1">
      <alignment horizontal="right" wrapText="1"/>
    </xf>
    <xf numFmtId="187" fontId="6" fillId="0" borderId="22" xfId="40" applyNumberFormat="1" applyFont="1" applyBorder="1" applyAlignment="1" quotePrefix="1">
      <alignment horizontal="center" wrapText="1"/>
    </xf>
    <xf numFmtId="187" fontId="6" fillId="0" borderId="22" xfId="40" applyNumberFormat="1" applyFont="1" applyBorder="1" applyAlignment="1">
      <alignment horizontal="right" wrapText="1"/>
    </xf>
    <xf numFmtId="0" fontId="78" fillId="0" borderId="0" xfId="0" applyFont="1" applyBorder="1" applyAlignment="1">
      <alignment horizontal="center"/>
    </xf>
    <xf numFmtId="187" fontId="16" fillId="0" borderId="10" xfId="40" applyNumberFormat="1" applyFont="1" applyBorder="1" applyAlignment="1">
      <alignment horizontal="center" wrapText="1"/>
    </xf>
    <xf numFmtId="0" fontId="78" fillId="0" borderId="10" xfId="0" applyFont="1" applyFill="1" applyBorder="1" applyAlignment="1">
      <alignment horizontal="center" vertical="center"/>
    </xf>
    <xf numFmtId="0" fontId="77" fillId="0" borderId="22" xfId="0" applyFont="1" applyBorder="1" applyAlignment="1">
      <alignment vertical="center"/>
    </xf>
    <xf numFmtId="187" fontId="6" fillId="0" borderId="0" xfId="40" applyNumberFormat="1" applyFont="1" applyBorder="1" applyAlignment="1">
      <alignment wrapText="1"/>
    </xf>
    <xf numFmtId="187" fontId="6" fillId="0" borderId="0" xfId="38" applyNumberFormat="1" applyFont="1" applyFill="1" applyBorder="1" applyAlignment="1">
      <alignment horizontal="right" wrapText="1"/>
    </xf>
    <xf numFmtId="187" fontId="6" fillId="0" borderId="0" xfId="40" applyNumberFormat="1" applyFont="1" applyBorder="1" applyAlignment="1" quotePrefix="1">
      <alignment horizontal="center" wrapText="1"/>
    </xf>
    <xf numFmtId="187" fontId="6" fillId="0" borderId="0" xfId="40" applyNumberFormat="1" applyFont="1" applyBorder="1" applyAlignment="1">
      <alignment horizontal="right" wrapText="1"/>
    </xf>
    <xf numFmtId="187" fontId="78" fillId="0" borderId="13" xfId="40" applyNumberFormat="1" applyFont="1" applyBorder="1" applyAlignment="1">
      <alignment/>
    </xf>
    <xf numFmtId="0" fontId="6" fillId="0" borderId="22" xfId="46" applyFont="1" applyBorder="1" applyAlignment="1">
      <alignment wrapText="1"/>
      <protection/>
    </xf>
    <xf numFmtId="0" fontId="25" fillId="0" borderId="21" xfId="46" applyFont="1" applyBorder="1" applyAlignment="1">
      <alignment wrapText="1"/>
      <protection/>
    </xf>
    <xf numFmtId="0" fontId="5" fillId="0" borderId="16" xfId="46" applyFont="1" applyBorder="1" applyAlignment="1">
      <alignment horizontal="center" wrapText="1"/>
      <protection/>
    </xf>
    <xf numFmtId="0" fontId="25" fillId="0" borderId="19" xfId="46" applyFont="1" applyBorder="1" applyAlignment="1">
      <alignment horizontal="center" wrapText="1"/>
      <protection/>
    </xf>
    <xf numFmtId="0" fontId="89" fillId="0" borderId="12" xfId="0" applyFont="1" applyBorder="1" applyAlignment="1">
      <alignment horizontal="center" vertical="center"/>
    </xf>
    <xf numFmtId="0" fontId="11" fillId="0" borderId="16" xfId="46" applyFont="1" applyBorder="1" applyAlignment="1">
      <alignment horizontal="center" wrapText="1"/>
      <protection/>
    </xf>
    <xf numFmtId="0" fontId="26" fillId="0" borderId="12" xfId="46" applyFont="1" applyBorder="1" applyAlignment="1">
      <alignment horizontal="center" wrapText="1"/>
      <protection/>
    </xf>
    <xf numFmtId="0" fontId="14" fillId="0" borderId="11" xfId="46" applyFont="1" applyBorder="1" applyAlignment="1">
      <alignment horizontal="center" wrapText="1"/>
      <protection/>
    </xf>
    <xf numFmtId="0" fontId="14" fillId="0" borderId="12" xfId="46" applyFont="1" applyBorder="1" applyAlignment="1">
      <alignment horizontal="center" wrapText="1"/>
      <protection/>
    </xf>
    <xf numFmtId="0" fontId="11" fillId="0" borderId="12" xfId="46" applyFont="1" applyBorder="1" applyAlignment="1">
      <alignment horizontal="center" wrapText="1"/>
      <protection/>
    </xf>
    <xf numFmtId="0" fontId="89" fillId="0" borderId="10" xfId="0" applyFont="1" applyBorder="1" applyAlignment="1">
      <alignment horizontal="center" vertical="center"/>
    </xf>
    <xf numFmtId="1" fontId="6" fillId="0" borderId="13" xfId="40" applyNumberFormat="1" applyFont="1" applyBorder="1" applyAlignment="1">
      <alignment horizontal="center" wrapText="1"/>
    </xf>
    <xf numFmtId="187" fontId="83" fillId="0" borderId="13" xfId="40" applyNumberFormat="1" applyFont="1" applyBorder="1" applyAlignment="1">
      <alignment wrapText="1"/>
    </xf>
    <xf numFmtId="0" fontId="9" fillId="0" borderId="21" xfId="47" applyFont="1" applyBorder="1" applyAlignment="1">
      <alignment/>
      <protection/>
    </xf>
    <xf numFmtId="187" fontId="3" fillId="0" borderId="0" xfId="46" applyNumberFormat="1" applyFont="1" applyBorder="1" applyAlignment="1">
      <alignment vertical="center" wrapText="1"/>
      <protection/>
    </xf>
    <xf numFmtId="187" fontId="78" fillId="0" borderId="10" xfId="38" applyNumberFormat="1" applyFont="1" applyBorder="1" applyAlignment="1">
      <alignment horizontal="right" wrapText="1"/>
    </xf>
    <xf numFmtId="3" fontId="78" fillId="0" borderId="10" xfId="46" applyNumberFormat="1" applyFont="1" applyBorder="1" applyAlignment="1">
      <alignment horizontal="right" wrapText="1"/>
      <protection/>
    </xf>
    <xf numFmtId="187" fontId="84" fillId="0" borderId="13" xfId="40" applyNumberFormat="1" applyFont="1" applyBorder="1" applyAlignment="1">
      <alignment horizontal="right"/>
    </xf>
    <xf numFmtId="187" fontId="78" fillId="0" borderId="13" xfId="40" applyNumberFormat="1" applyFont="1" applyBorder="1" applyAlignment="1">
      <alignment horizontal="center" wrapText="1"/>
    </xf>
    <xf numFmtId="0" fontId="78" fillId="0" borderId="13" xfId="46" applyFont="1" applyBorder="1" applyAlignment="1">
      <alignment horizontal="center" wrapText="1"/>
      <protection/>
    </xf>
    <xf numFmtId="187" fontId="78" fillId="0" borderId="13" xfId="38" applyNumberFormat="1" applyFont="1" applyBorder="1" applyAlignment="1">
      <alignment horizontal="center" wrapText="1"/>
    </xf>
    <xf numFmtId="187" fontId="84" fillId="0" borderId="10" xfId="40" applyNumberFormat="1" applyFont="1" applyBorder="1" applyAlignment="1" quotePrefix="1">
      <alignment horizontal="center"/>
    </xf>
    <xf numFmtId="1" fontId="78" fillId="0" borderId="13" xfId="40" applyNumberFormat="1" applyFont="1" applyBorder="1" applyAlignment="1">
      <alignment horizontal="center" wrapText="1"/>
    </xf>
    <xf numFmtId="187" fontId="78" fillId="0" borderId="10" xfId="38" applyNumberFormat="1" applyFont="1" applyBorder="1" applyAlignment="1">
      <alignment horizontal="center" wrapText="1"/>
    </xf>
    <xf numFmtId="0" fontId="78" fillId="0" borderId="10" xfId="46" applyFont="1" applyBorder="1" applyAlignment="1">
      <alignment horizontal="center"/>
      <protection/>
    </xf>
    <xf numFmtId="187" fontId="78" fillId="0" borderId="10" xfId="40" applyNumberFormat="1" applyFont="1" applyBorder="1" applyAlignment="1" quotePrefix="1">
      <alignment horizontal="center"/>
    </xf>
    <xf numFmtId="187" fontId="78" fillId="0" borderId="13" xfId="40" applyNumberFormat="1" applyFont="1" applyBorder="1" applyAlignment="1">
      <alignment wrapText="1"/>
    </xf>
    <xf numFmtId="0" fontId="77" fillId="0" borderId="10" xfId="46" applyFont="1" applyBorder="1" applyAlignment="1">
      <alignment horizontal="center" wrapText="1"/>
      <protection/>
    </xf>
    <xf numFmtId="187" fontId="78" fillId="0" borderId="10" xfId="38" applyNumberFormat="1" applyFont="1" applyFill="1" applyBorder="1" applyAlignment="1">
      <alignment horizontal="right" wrapText="1"/>
    </xf>
    <xf numFmtId="187" fontId="78" fillId="0" borderId="13" xfId="40" applyNumberFormat="1" applyFont="1" applyBorder="1" applyAlignment="1" quotePrefix="1">
      <alignment horizontal="center" wrapText="1"/>
    </xf>
    <xf numFmtId="187" fontId="78" fillId="0" borderId="13" xfId="40" applyNumberFormat="1" applyFont="1" applyBorder="1" applyAlignment="1">
      <alignment horizontal="right" wrapText="1"/>
    </xf>
    <xf numFmtId="187" fontId="78" fillId="0" borderId="10" xfId="40" applyNumberFormat="1" applyFont="1" applyBorder="1" applyAlignment="1">
      <alignment wrapText="1"/>
    </xf>
    <xf numFmtId="187" fontId="78" fillId="0" borderId="10" xfId="38" applyNumberFormat="1" applyFont="1" applyFill="1" applyBorder="1" applyAlignment="1" quotePrefix="1">
      <alignment horizontal="right" wrapText="1"/>
    </xf>
    <xf numFmtId="1" fontId="78" fillId="0" borderId="10" xfId="38" applyNumberFormat="1" applyFont="1" applyFill="1" applyBorder="1" applyAlignment="1" quotePrefix="1">
      <alignment horizontal="center" wrapText="1"/>
    </xf>
    <xf numFmtId="187" fontId="77" fillId="0" borderId="10" xfId="40" applyNumberFormat="1" applyFont="1" applyBorder="1" applyAlignment="1">
      <alignment horizontal="center"/>
    </xf>
    <xf numFmtId="187" fontId="78" fillId="0" borderId="10" xfId="38" applyNumberFormat="1" applyFont="1" applyFill="1" applyBorder="1" applyAlignment="1">
      <alignment horizontal="center" wrapText="1"/>
    </xf>
    <xf numFmtId="3" fontId="78" fillId="0" borderId="10" xfId="46" applyNumberFormat="1" applyFont="1" applyFill="1" applyBorder="1" applyAlignment="1">
      <alignment horizontal="right" wrapText="1"/>
      <protection/>
    </xf>
    <xf numFmtId="3" fontId="78" fillId="0" borderId="10" xfId="46" applyNumberFormat="1" applyFont="1" applyFill="1" applyBorder="1" applyAlignment="1">
      <alignment horizontal="center" wrapText="1"/>
      <protection/>
    </xf>
    <xf numFmtId="187" fontId="78" fillId="0" borderId="10" xfId="40" applyNumberFormat="1" applyFont="1" applyBorder="1" applyAlignment="1">
      <alignment horizontal="center" wrapText="1"/>
    </xf>
    <xf numFmtId="0" fontId="77" fillId="0" borderId="13" xfId="46" applyFont="1" applyBorder="1" applyAlignment="1">
      <alignment horizontal="center" wrapText="1"/>
      <protection/>
    </xf>
    <xf numFmtId="187" fontId="78" fillId="0" borderId="13" xfId="40" applyNumberFormat="1" applyFont="1" applyBorder="1" applyAlignment="1" quotePrefix="1">
      <alignment horizontal="center"/>
    </xf>
    <xf numFmtId="187" fontId="84" fillId="0" borderId="10" xfId="40" applyNumberFormat="1" applyFont="1" applyBorder="1" applyAlignment="1">
      <alignment horizontal="right" wrapText="1"/>
    </xf>
    <xf numFmtId="187" fontId="77" fillId="0" borderId="10" xfId="40" applyNumberFormat="1" applyFont="1" applyBorder="1" applyAlignment="1">
      <alignment horizontal="center" wrapText="1"/>
    </xf>
    <xf numFmtId="187" fontId="84" fillId="0" borderId="13" xfId="40" applyNumberFormat="1" applyFont="1" applyBorder="1" applyAlignment="1">
      <alignment horizontal="right" wrapText="1"/>
    </xf>
    <xf numFmtId="187" fontId="77" fillId="0" borderId="13" xfId="40" applyNumberFormat="1" applyFont="1" applyBorder="1" applyAlignment="1">
      <alignment horizontal="center" wrapText="1"/>
    </xf>
    <xf numFmtId="187" fontId="78" fillId="0" borderId="10" xfId="40" applyNumberFormat="1" applyFont="1" applyBorder="1" applyAlignment="1">
      <alignment horizontal="right"/>
    </xf>
    <xf numFmtId="187" fontId="84" fillId="0" borderId="13" xfId="40" applyNumberFormat="1" applyFont="1" applyBorder="1" applyAlignment="1">
      <alignment wrapText="1"/>
    </xf>
    <xf numFmtId="187" fontId="78" fillId="0" borderId="13" xfId="38" applyNumberFormat="1" applyFont="1" applyFill="1" applyBorder="1" applyAlignment="1">
      <alignment horizontal="center" wrapText="1"/>
    </xf>
    <xf numFmtId="187" fontId="84" fillId="0" borderId="12" xfId="40" applyNumberFormat="1" applyFont="1" applyBorder="1" applyAlignment="1">
      <alignment wrapText="1"/>
    </xf>
    <xf numFmtId="0" fontId="77" fillId="0" borderId="12" xfId="46" applyFont="1" applyBorder="1" applyAlignment="1">
      <alignment horizontal="center" wrapText="1"/>
      <protection/>
    </xf>
    <xf numFmtId="3" fontId="78" fillId="0" borderId="11" xfId="46" applyNumberFormat="1" applyFont="1" applyBorder="1" applyAlignment="1">
      <alignment horizontal="right" wrapText="1"/>
      <protection/>
    </xf>
    <xf numFmtId="187" fontId="78" fillId="0" borderId="12" xfId="40" applyNumberFormat="1" applyFont="1" applyBorder="1" applyAlignment="1" quotePrefix="1">
      <alignment horizontal="center" wrapText="1"/>
    </xf>
    <xf numFmtId="187" fontId="78" fillId="0" borderId="11" xfId="40" applyNumberFormat="1" applyFont="1" applyBorder="1" applyAlignment="1">
      <alignment horizontal="right"/>
    </xf>
    <xf numFmtId="0" fontId="78" fillId="0" borderId="10" xfId="46" applyFont="1" applyBorder="1" applyAlignment="1">
      <alignment horizontal="right" wrapText="1"/>
      <protection/>
    </xf>
    <xf numFmtId="0" fontId="78" fillId="0" borderId="13" xfId="46" applyFont="1" applyFill="1" applyBorder="1" applyAlignment="1">
      <alignment horizontal="center" wrapText="1"/>
      <protection/>
    </xf>
    <xf numFmtId="3" fontId="78" fillId="0" borderId="13" xfId="46" applyNumberFormat="1" applyFont="1" applyFill="1" applyBorder="1" applyAlignment="1">
      <alignment horizontal="right" wrapText="1"/>
      <protection/>
    </xf>
    <xf numFmtId="0" fontId="90" fillId="0" borderId="0" xfId="0" applyFont="1" applyBorder="1" applyAlignment="1">
      <alignment/>
    </xf>
    <xf numFmtId="187" fontId="82" fillId="0" borderId="10" xfId="40" applyNumberFormat="1" applyFont="1" applyBorder="1" applyAlignment="1">
      <alignment horizontal="center" wrapText="1"/>
    </xf>
    <xf numFmtId="187" fontId="82" fillId="0" borderId="13" xfId="40" applyNumberFormat="1" applyFont="1" applyBorder="1" applyAlignment="1">
      <alignment horizontal="center" wrapText="1"/>
    </xf>
    <xf numFmtId="187" fontId="82" fillId="0" borderId="10" xfId="38" applyNumberFormat="1" applyFont="1" applyBorder="1" applyAlignment="1">
      <alignment horizontal="center" wrapText="1"/>
    </xf>
    <xf numFmtId="0" fontId="82" fillId="0" borderId="10" xfId="46" applyFont="1" applyFill="1" applyBorder="1" applyAlignment="1">
      <alignment horizontal="center" wrapText="1"/>
      <protection/>
    </xf>
    <xf numFmtId="187" fontId="82" fillId="0" borderId="10" xfId="38" applyNumberFormat="1" applyFont="1" applyFill="1" applyBorder="1" applyAlignment="1" quotePrefix="1">
      <alignment horizontal="right" wrapText="1"/>
    </xf>
    <xf numFmtId="187" fontId="82" fillId="0" borderId="10" xfId="38" applyNumberFormat="1" applyFont="1" applyFill="1" applyBorder="1" applyAlignment="1">
      <alignment horizontal="center" wrapText="1"/>
    </xf>
    <xf numFmtId="3" fontId="82" fillId="0" borderId="10" xfId="46" applyNumberFormat="1" applyFont="1" applyFill="1" applyBorder="1" applyAlignment="1">
      <alignment horizontal="right" wrapText="1"/>
      <protection/>
    </xf>
    <xf numFmtId="3" fontId="82" fillId="0" borderId="10" xfId="46" applyNumberFormat="1" applyFont="1" applyBorder="1" applyAlignment="1">
      <alignment horizontal="right" wrapText="1"/>
      <protection/>
    </xf>
    <xf numFmtId="0" fontId="77" fillId="0" borderId="11" xfId="46" applyFont="1" applyBorder="1" applyAlignment="1">
      <alignment horizontal="center" wrapText="1"/>
      <protection/>
    </xf>
    <xf numFmtId="187" fontId="78" fillId="0" borderId="11" xfId="38" applyNumberFormat="1" applyFont="1" applyFill="1" applyBorder="1" applyAlignment="1">
      <alignment horizontal="right" wrapText="1"/>
    </xf>
    <xf numFmtId="187" fontId="78" fillId="0" borderId="10" xfId="40" applyNumberFormat="1" applyFont="1" applyBorder="1" applyAlignment="1" quotePrefix="1">
      <alignment horizontal="center" wrapText="1"/>
    </xf>
    <xf numFmtId="0" fontId="78" fillId="0" borderId="10" xfId="46" applyFont="1" applyBorder="1" applyAlignment="1" quotePrefix="1">
      <alignment horizontal="center" wrapText="1"/>
      <protection/>
    </xf>
    <xf numFmtId="188" fontId="78" fillId="0" borderId="10" xfId="38" applyNumberFormat="1" applyFont="1" applyBorder="1" applyAlignment="1">
      <alignment horizontal="right"/>
    </xf>
    <xf numFmtId="187" fontId="84" fillId="0" borderId="10" xfId="40" applyNumberFormat="1" applyFont="1" applyBorder="1" applyAlignment="1">
      <alignment horizontal="right"/>
    </xf>
    <xf numFmtId="4" fontId="20" fillId="33" borderId="0" xfId="46" applyNumberFormat="1" applyFont="1" applyFill="1" applyBorder="1" applyAlignment="1">
      <alignment horizontal="center" wrapText="1"/>
      <protection/>
    </xf>
    <xf numFmtId="0" fontId="88" fillId="33" borderId="0" xfId="0" applyFont="1" applyFill="1" applyBorder="1" applyAlignment="1">
      <alignment/>
    </xf>
    <xf numFmtId="0" fontId="85" fillId="0" borderId="19" xfId="0" applyFont="1" applyBorder="1" applyAlignment="1">
      <alignment/>
    </xf>
    <xf numFmtId="0" fontId="85" fillId="0" borderId="20" xfId="0" applyFont="1" applyBorder="1" applyAlignment="1">
      <alignment/>
    </xf>
    <xf numFmtId="0" fontId="6" fillId="0" borderId="13" xfId="46" applyFont="1" applyFill="1" applyBorder="1" applyAlignment="1">
      <alignment horizontal="center" vertical="top" wrapText="1"/>
      <protection/>
    </xf>
    <xf numFmtId="0" fontId="6" fillId="0" borderId="10" xfId="46" applyFont="1" applyFill="1" applyBorder="1" applyAlignment="1">
      <alignment vertical="top" wrapText="1"/>
      <protection/>
    </xf>
    <xf numFmtId="0" fontId="6" fillId="0" borderId="10" xfId="46" applyFont="1" applyFill="1" applyBorder="1" applyAlignment="1">
      <alignment horizontal="center" vertical="top" wrapText="1"/>
      <protection/>
    </xf>
    <xf numFmtId="0" fontId="78" fillId="0" borderId="10" xfId="0" applyFont="1" applyFill="1" applyBorder="1" applyAlignment="1">
      <alignment horizontal="center" vertical="top"/>
    </xf>
    <xf numFmtId="187" fontId="78" fillId="0" borderId="10" xfId="40" applyNumberFormat="1" applyFont="1" applyFill="1" applyBorder="1" applyAlignment="1">
      <alignment vertical="top"/>
    </xf>
    <xf numFmtId="1" fontId="78" fillId="0" borderId="13" xfId="40" applyNumberFormat="1" applyFont="1" applyBorder="1" applyAlignment="1">
      <alignment horizontal="center" vertical="top" wrapText="1"/>
    </xf>
    <xf numFmtId="0" fontId="77" fillId="0" borderId="13" xfId="46" applyFont="1" applyFill="1" applyBorder="1" applyAlignment="1">
      <alignment horizontal="center" vertical="top" wrapText="1"/>
      <protection/>
    </xf>
    <xf numFmtId="187" fontId="78" fillId="0" borderId="10" xfId="38" applyNumberFormat="1" applyFont="1" applyFill="1" applyBorder="1" applyAlignment="1">
      <alignment horizontal="center" vertical="top" wrapText="1"/>
    </xf>
    <xf numFmtId="0" fontId="78" fillId="0" borderId="10" xfId="46" applyFont="1" applyFill="1" applyBorder="1" applyAlignment="1">
      <alignment horizontal="center" vertical="top" wrapText="1"/>
      <protection/>
    </xf>
    <xf numFmtId="187" fontId="15" fillId="0" borderId="13" xfId="40" applyNumberFormat="1" applyFont="1" applyBorder="1" applyAlignment="1">
      <alignment horizontal="center" vertical="top" wrapText="1"/>
    </xf>
    <xf numFmtId="0" fontId="87" fillId="0" borderId="13" xfId="0" applyNumberFormat="1" applyFont="1" applyBorder="1" applyAlignment="1" quotePrefix="1">
      <alignment horizontal="center" vertical="center"/>
    </xf>
    <xf numFmtId="0" fontId="87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3" fillId="0" borderId="11" xfId="46" applyFont="1" applyBorder="1" applyAlignment="1">
      <alignment horizontal="center" wrapText="1"/>
      <protection/>
    </xf>
    <xf numFmtId="0" fontId="3" fillId="0" borderId="0" xfId="46" applyFont="1" applyAlignment="1">
      <alignment horizontal="left" vertical="center"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11" fillId="0" borderId="15" xfId="46" applyFont="1" applyBorder="1" applyAlignment="1">
      <alignment horizontal="center" wrapText="1"/>
      <protection/>
    </xf>
    <xf numFmtId="0" fontId="11" fillId="0" borderId="14" xfId="46" applyFont="1" applyBorder="1" applyAlignment="1">
      <alignment horizontal="center" wrapText="1"/>
      <protection/>
    </xf>
    <xf numFmtId="0" fontId="11" fillId="0" borderId="17" xfId="46" applyFont="1" applyBorder="1" applyAlignment="1">
      <alignment horizontal="center" wrapText="1"/>
      <protection/>
    </xf>
    <xf numFmtId="0" fontId="89" fillId="0" borderId="14" xfId="0" applyFont="1" applyBorder="1" applyAlignment="1">
      <alignment horizontal="center"/>
    </xf>
    <xf numFmtId="0" fontId="89" fillId="0" borderId="17" xfId="0" applyFont="1" applyBorder="1" applyAlignment="1">
      <alignment horizontal="center"/>
    </xf>
    <xf numFmtId="0" fontId="6" fillId="0" borderId="15" xfId="46" applyFont="1" applyBorder="1" applyAlignment="1">
      <alignment horizontal="center" wrapText="1"/>
      <protection/>
    </xf>
    <xf numFmtId="0" fontId="78" fillId="0" borderId="14" xfId="0" applyFont="1" applyBorder="1" applyAlignment="1">
      <alignment/>
    </xf>
    <xf numFmtId="0" fontId="6" fillId="0" borderId="14" xfId="46" applyFont="1" applyBorder="1" applyAlignment="1">
      <alignment horizontal="center" wrapText="1"/>
      <protection/>
    </xf>
    <xf numFmtId="0" fontId="6" fillId="0" borderId="17" xfId="46" applyFont="1" applyBorder="1" applyAlignment="1">
      <alignment horizontal="center" wrapText="1"/>
      <protection/>
    </xf>
    <xf numFmtId="0" fontId="11" fillId="0" borderId="16" xfId="46" applyFont="1" applyBorder="1" applyAlignment="1">
      <alignment horizontal="center" wrapText="1"/>
      <protection/>
    </xf>
    <xf numFmtId="0" fontId="11" fillId="0" borderId="0" xfId="46" applyFont="1" applyBorder="1" applyAlignment="1">
      <alignment horizontal="center" wrapText="1"/>
      <protection/>
    </xf>
    <xf numFmtId="0" fontId="11" fillId="0" borderId="18" xfId="46" applyFont="1" applyBorder="1" applyAlignment="1">
      <alignment horizontal="center" wrapText="1"/>
      <protection/>
    </xf>
    <xf numFmtId="0" fontId="11" fillId="0" borderId="22" xfId="46" applyFont="1" applyBorder="1" applyAlignment="1">
      <alignment horizontal="center" wrapText="1"/>
      <protection/>
    </xf>
    <xf numFmtId="0" fontId="89" fillId="0" borderId="22" xfId="0" applyFont="1" applyBorder="1" applyAlignment="1">
      <alignment horizontal="center"/>
    </xf>
    <xf numFmtId="0" fontId="89" fillId="0" borderId="19" xfId="0" applyFont="1" applyBorder="1" applyAlignment="1">
      <alignment horizontal="center"/>
    </xf>
    <xf numFmtId="0" fontId="6" fillId="0" borderId="21" xfId="46" applyFont="1" applyBorder="1" applyAlignment="1">
      <alignment horizontal="center" wrapText="1"/>
      <protection/>
    </xf>
    <xf numFmtId="0" fontId="6" fillId="0" borderId="22" xfId="46" applyFont="1" applyBorder="1" applyAlignment="1">
      <alignment horizontal="center" wrapText="1"/>
      <protection/>
    </xf>
    <xf numFmtId="0" fontId="85" fillId="0" borderId="22" xfId="0" applyFont="1" applyBorder="1" applyAlignment="1">
      <alignment/>
    </xf>
    <xf numFmtId="0" fontId="85" fillId="0" borderId="19" xfId="0" applyFont="1" applyBorder="1" applyAlignment="1">
      <alignment/>
    </xf>
    <xf numFmtId="0" fontId="11" fillId="0" borderId="21" xfId="46" applyFont="1" applyBorder="1" applyAlignment="1">
      <alignment horizontal="center" wrapText="1"/>
      <protection/>
    </xf>
    <xf numFmtId="0" fontId="11" fillId="0" borderId="23" xfId="46" applyFont="1" applyBorder="1" applyAlignment="1">
      <alignment horizontal="left" wrapText="1"/>
      <protection/>
    </xf>
    <xf numFmtId="0" fontId="85" fillId="0" borderId="20" xfId="0" applyFont="1" applyBorder="1" applyAlignment="1">
      <alignment/>
    </xf>
    <xf numFmtId="0" fontId="14" fillId="0" borderId="23" xfId="46" applyFont="1" applyBorder="1" applyAlignment="1">
      <alignment horizontal="left" wrapText="1"/>
      <protection/>
    </xf>
    <xf numFmtId="0" fontId="91" fillId="0" borderId="20" xfId="0" applyFont="1" applyBorder="1" applyAlignment="1">
      <alignment/>
    </xf>
    <xf numFmtId="0" fontId="14" fillId="0" borderId="10" xfId="46" applyFont="1" applyBorder="1" applyAlignment="1">
      <alignment horizontal="left" wrapText="1"/>
      <protection/>
    </xf>
    <xf numFmtId="187" fontId="23" fillId="0" borderId="0" xfId="40" applyNumberFormat="1" applyFont="1" applyBorder="1" applyAlignment="1">
      <alignment horizontal="center" wrapText="1"/>
    </xf>
    <xf numFmtId="0" fontId="20" fillId="33" borderId="10" xfId="46" applyFont="1" applyFill="1" applyBorder="1" applyAlignment="1">
      <alignment horizontal="center" wrapText="1"/>
      <protection/>
    </xf>
    <xf numFmtId="4" fontId="20" fillId="33" borderId="23" xfId="46" applyNumberFormat="1" applyFont="1" applyFill="1" applyBorder="1" applyAlignment="1">
      <alignment horizontal="center" wrapText="1"/>
      <protection/>
    </xf>
    <xf numFmtId="4" fontId="20" fillId="33" borderId="24" xfId="46" applyNumberFormat="1" applyFont="1" applyFill="1" applyBorder="1" applyAlignment="1">
      <alignment horizontal="center" wrapText="1"/>
      <protection/>
    </xf>
    <xf numFmtId="4" fontId="20" fillId="33" borderId="20" xfId="46" applyNumberFormat="1" applyFont="1" applyFill="1" applyBorder="1" applyAlignment="1">
      <alignment horizontal="center" wrapText="1"/>
      <protection/>
    </xf>
    <xf numFmtId="0" fontId="3" fillId="0" borderId="14" xfId="46" applyFont="1" applyBorder="1" applyAlignment="1">
      <alignment horizontal="left" wrapText="1"/>
      <protection/>
    </xf>
    <xf numFmtId="0" fontId="3" fillId="0" borderId="0" xfId="46" applyFont="1" applyBorder="1" applyAlignment="1">
      <alignment horizontal="left" wrapText="1"/>
      <protection/>
    </xf>
    <xf numFmtId="0" fontId="19" fillId="0" borderId="0" xfId="46" applyFont="1" applyBorder="1" applyAlignment="1">
      <alignment horizontal="center" wrapText="1"/>
      <protection/>
    </xf>
    <xf numFmtId="0" fontId="11" fillId="0" borderId="23" xfId="46" applyFont="1" applyBorder="1" applyAlignment="1">
      <alignment horizontal="center" wrapText="1"/>
      <protection/>
    </xf>
    <xf numFmtId="0" fontId="11" fillId="0" borderId="20" xfId="46" applyFont="1" applyBorder="1" applyAlignment="1">
      <alignment horizontal="center" wrapText="1"/>
      <protection/>
    </xf>
    <xf numFmtId="4" fontId="20" fillId="0" borderId="10" xfId="46" applyNumberFormat="1" applyFont="1" applyBorder="1" applyAlignment="1">
      <alignment horizontal="center" wrapText="1"/>
      <protection/>
    </xf>
    <xf numFmtId="0" fontId="11" fillId="0" borderId="10" xfId="46" applyFont="1" applyBorder="1" applyAlignment="1">
      <alignment horizontal="center" wrapText="1"/>
      <protection/>
    </xf>
    <xf numFmtId="187" fontId="19" fillId="0" borderId="0" xfId="40" applyNumberFormat="1" applyFont="1" applyBorder="1" applyAlignment="1">
      <alignment horizontal="center" wrapText="1"/>
    </xf>
    <xf numFmtId="4" fontId="20" fillId="33" borderId="10" xfId="46" applyNumberFormat="1" applyFont="1" applyFill="1" applyBorder="1" applyAlignment="1">
      <alignment horizontal="center" wrapText="1"/>
      <protection/>
    </xf>
    <xf numFmtId="0" fontId="22" fillId="33" borderId="0" xfId="46" applyFont="1" applyFill="1" applyBorder="1" applyAlignment="1">
      <alignment horizontal="center" wrapText="1"/>
      <protection/>
    </xf>
    <xf numFmtId="0" fontId="92" fillId="0" borderId="0" xfId="46" applyFont="1" applyBorder="1" applyAlignment="1">
      <alignment horizontal="center" wrapText="1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เครื่องหมายจุลภาค 3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9"/>
  <sheetViews>
    <sheetView tabSelected="1" zoomScaleSheetLayoutView="140" zoomScalePageLayoutView="0" workbookViewId="0" topLeftCell="A63">
      <selection activeCell="F84" sqref="F84"/>
    </sheetView>
  </sheetViews>
  <sheetFormatPr defaultColWidth="9.140625" defaultRowHeight="21" customHeight="1"/>
  <cols>
    <col min="1" max="1" width="2.28125" style="126" customWidth="1"/>
    <col min="2" max="2" width="25.421875" style="127" customWidth="1"/>
    <col min="3" max="3" width="5.57421875" style="127" customWidth="1"/>
    <col min="4" max="4" width="3.8515625" style="128" customWidth="1"/>
    <col min="5" max="5" width="3.57421875" style="129" customWidth="1"/>
    <col min="6" max="6" width="8.28125" style="130" customWidth="1"/>
    <col min="7" max="7" width="7.8515625" style="130" customWidth="1"/>
    <col min="8" max="10" width="3.421875" style="128" customWidth="1"/>
    <col min="11" max="13" width="3.421875" style="129" customWidth="1"/>
    <col min="14" max="16" width="7.8515625" style="46" customWidth="1"/>
    <col min="17" max="19" width="8.7109375" style="46" customWidth="1"/>
    <col min="20" max="20" width="6.140625" style="15" customWidth="1"/>
    <col min="21" max="21" width="10.28125" style="1" bestFit="1" customWidth="1"/>
    <col min="22" max="22" width="9.140625" style="1" bestFit="1" customWidth="1"/>
    <col min="23" max="16384" width="9.00390625" style="1" customWidth="1"/>
  </cols>
  <sheetData>
    <row r="1" spans="1:20" ht="21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14">
        <v>26</v>
      </c>
    </row>
    <row r="2" spans="1:19" ht="18.75" customHeight="1">
      <c r="A2" s="292" t="s">
        <v>1</v>
      </c>
      <c r="B2" s="292"/>
      <c r="C2" s="293"/>
      <c r="D2" s="293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P2" s="293"/>
      <c r="Q2" s="293"/>
      <c r="R2" s="293"/>
      <c r="S2" s="293"/>
    </row>
    <row r="3" spans="1:20" ht="17.25" customHeight="1">
      <c r="A3" s="47"/>
      <c r="B3" s="48"/>
      <c r="C3" s="290" t="s">
        <v>120</v>
      </c>
      <c r="D3" s="209" t="s">
        <v>3</v>
      </c>
      <c r="E3" s="294" t="s">
        <v>87</v>
      </c>
      <c r="F3" s="295"/>
      <c r="G3" s="296"/>
      <c r="H3" s="295" t="s">
        <v>16</v>
      </c>
      <c r="I3" s="297"/>
      <c r="J3" s="298"/>
      <c r="K3" s="294" t="s">
        <v>14</v>
      </c>
      <c r="L3" s="295"/>
      <c r="M3" s="296"/>
      <c r="N3" s="299"/>
      <c r="O3" s="300"/>
      <c r="P3" s="300"/>
      <c r="Q3" s="299"/>
      <c r="R3" s="301"/>
      <c r="S3" s="302"/>
      <c r="T3" s="6"/>
    </row>
    <row r="4" spans="1:20" ht="17.25" customHeight="1">
      <c r="A4" s="211" t="s">
        <v>2</v>
      </c>
      <c r="B4" s="207" t="s">
        <v>33</v>
      </c>
      <c r="C4" s="208" t="s">
        <v>121</v>
      </c>
      <c r="D4" s="210" t="s">
        <v>4</v>
      </c>
      <c r="E4" s="303"/>
      <c r="F4" s="304"/>
      <c r="G4" s="305"/>
      <c r="H4" s="303" t="s">
        <v>17</v>
      </c>
      <c r="I4" s="304"/>
      <c r="J4" s="305"/>
      <c r="K4" s="303" t="s">
        <v>15</v>
      </c>
      <c r="L4" s="304"/>
      <c r="M4" s="305"/>
      <c r="N4" s="303" t="s">
        <v>88</v>
      </c>
      <c r="O4" s="304"/>
      <c r="P4" s="305"/>
      <c r="Q4" s="303" t="s">
        <v>60</v>
      </c>
      <c r="R4" s="304"/>
      <c r="S4" s="305"/>
      <c r="T4" s="206" t="s">
        <v>23</v>
      </c>
    </row>
    <row r="5" spans="1:20" ht="17.25" customHeight="1">
      <c r="A5" s="50"/>
      <c r="B5" s="51"/>
      <c r="C5" s="52"/>
      <c r="D5" s="204"/>
      <c r="E5" s="203"/>
      <c r="F5" s="202"/>
      <c r="G5" s="205" t="s">
        <v>59</v>
      </c>
      <c r="H5" s="306" t="s">
        <v>18</v>
      </c>
      <c r="I5" s="307"/>
      <c r="J5" s="308"/>
      <c r="K5" s="309"/>
      <c r="L5" s="310"/>
      <c r="M5" s="310"/>
      <c r="N5" s="309"/>
      <c r="O5" s="311"/>
      <c r="P5" s="312"/>
      <c r="Q5" s="309"/>
      <c r="R5" s="311"/>
      <c r="S5" s="312"/>
      <c r="T5" s="13"/>
    </row>
    <row r="6" spans="1:20" ht="24" customHeight="1">
      <c r="A6" s="50"/>
      <c r="B6" s="53"/>
      <c r="C6" s="54"/>
      <c r="D6" s="55"/>
      <c r="E6" s="173" t="s">
        <v>5</v>
      </c>
      <c r="F6" s="286" t="s">
        <v>89</v>
      </c>
      <c r="G6" s="170" t="s">
        <v>61</v>
      </c>
      <c r="H6" s="169">
        <v>2564</v>
      </c>
      <c r="I6" s="169">
        <v>2565</v>
      </c>
      <c r="J6" s="169">
        <v>2566</v>
      </c>
      <c r="K6" s="169">
        <v>2564</v>
      </c>
      <c r="L6" s="169">
        <v>2565</v>
      </c>
      <c r="M6" s="169">
        <v>2566</v>
      </c>
      <c r="N6" s="41">
        <v>2564</v>
      </c>
      <c r="O6" s="41">
        <v>2565</v>
      </c>
      <c r="P6" s="41">
        <v>2566</v>
      </c>
      <c r="Q6" s="41">
        <v>2564</v>
      </c>
      <c r="R6" s="41">
        <v>2565</v>
      </c>
      <c r="S6" s="41">
        <v>2566</v>
      </c>
      <c r="T6" s="17"/>
    </row>
    <row r="7" spans="1:20" ht="18" customHeight="1">
      <c r="A7" s="33">
        <v>1</v>
      </c>
      <c r="B7" s="56" t="s">
        <v>44</v>
      </c>
      <c r="C7" s="49" t="s">
        <v>78</v>
      </c>
      <c r="D7" s="57">
        <v>1</v>
      </c>
      <c r="E7" s="33">
        <v>1</v>
      </c>
      <c r="F7" s="240">
        <f>(43300*12)</f>
        <v>519600</v>
      </c>
      <c r="G7" s="220">
        <f>(7000+7000)*12</f>
        <v>168000</v>
      </c>
      <c r="H7" s="241">
        <v>1</v>
      </c>
      <c r="I7" s="241">
        <v>1</v>
      </c>
      <c r="J7" s="241">
        <v>1</v>
      </c>
      <c r="K7" s="38" t="s">
        <v>6</v>
      </c>
      <c r="L7" s="38" t="s">
        <v>6</v>
      </c>
      <c r="M7" s="38" t="s">
        <v>6</v>
      </c>
      <c r="N7" s="218">
        <f>(44930-43300)*12</f>
        <v>19560</v>
      </c>
      <c r="O7" s="37">
        <f>(46560-44930)*12</f>
        <v>19560</v>
      </c>
      <c r="P7" s="218">
        <f>(48200-46560)*12</f>
        <v>19680</v>
      </c>
      <c r="Q7" s="218">
        <f>F7+G7+N7</f>
        <v>707160</v>
      </c>
      <c r="R7" s="218">
        <f>Q7+O7</f>
        <v>726720</v>
      </c>
      <c r="S7" s="218">
        <f>R7+P7</f>
        <v>746400</v>
      </c>
      <c r="T7" s="287" t="s">
        <v>90</v>
      </c>
    </row>
    <row r="8" spans="1:20" ht="18" customHeight="1">
      <c r="A8" s="33">
        <v>2</v>
      </c>
      <c r="B8" s="56" t="s">
        <v>45</v>
      </c>
      <c r="C8" s="47" t="s">
        <v>79</v>
      </c>
      <c r="D8" s="33">
        <v>1</v>
      </c>
      <c r="E8" s="33">
        <v>1</v>
      </c>
      <c r="F8" s="240">
        <f>33560*12</f>
        <v>402720</v>
      </c>
      <c r="G8" s="220">
        <f>3500*12</f>
        <v>42000</v>
      </c>
      <c r="H8" s="241">
        <v>1</v>
      </c>
      <c r="I8" s="241">
        <v>1</v>
      </c>
      <c r="J8" s="241">
        <v>1</v>
      </c>
      <c r="K8" s="38" t="s">
        <v>6</v>
      </c>
      <c r="L8" s="38" t="s">
        <v>6</v>
      </c>
      <c r="M8" s="38" t="s">
        <v>6</v>
      </c>
      <c r="N8" s="218">
        <f>(34680-33560)*12</f>
        <v>13440</v>
      </c>
      <c r="O8" s="218">
        <f>(35770-34680)*12</f>
        <v>13080</v>
      </c>
      <c r="P8" s="218">
        <f>(36860-35770)*12</f>
        <v>13080</v>
      </c>
      <c r="Q8" s="218">
        <f>F8+G8+N8</f>
        <v>458160</v>
      </c>
      <c r="R8" s="218">
        <f>Q8+O8</f>
        <v>471240</v>
      </c>
      <c r="S8" s="218">
        <f>R8+P8</f>
        <v>484320</v>
      </c>
      <c r="T8" s="287" t="s">
        <v>91</v>
      </c>
    </row>
    <row r="9" spans="1:20" ht="15.75" customHeight="1">
      <c r="A9" s="57"/>
      <c r="B9" s="58" t="s">
        <v>7</v>
      </c>
      <c r="C9" s="58"/>
      <c r="D9" s="33"/>
      <c r="E9" s="33"/>
      <c r="F9" s="240"/>
      <c r="G9" s="220"/>
      <c r="H9" s="241"/>
      <c r="I9" s="241"/>
      <c r="J9" s="241"/>
      <c r="K9" s="38"/>
      <c r="L9" s="38"/>
      <c r="M9" s="38"/>
      <c r="N9" s="255"/>
      <c r="O9" s="255"/>
      <c r="P9" s="255"/>
      <c r="Q9" s="218"/>
      <c r="R9" s="218"/>
      <c r="S9" s="218"/>
      <c r="T9" s="3"/>
    </row>
    <row r="10" spans="1:20" ht="15.75" customHeight="1">
      <c r="A10" s="47"/>
      <c r="B10" s="59" t="s">
        <v>13</v>
      </c>
      <c r="C10" s="59"/>
      <c r="D10" s="33"/>
      <c r="E10" s="33"/>
      <c r="F10" s="240"/>
      <c r="G10" s="220"/>
      <c r="H10" s="241"/>
      <c r="I10" s="241"/>
      <c r="J10" s="241"/>
      <c r="K10" s="38"/>
      <c r="L10" s="38"/>
      <c r="M10" s="38"/>
      <c r="N10" s="255"/>
      <c r="O10" s="255"/>
      <c r="P10" s="255"/>
      <c r="Q10" s="218"/>
      <c r="R10" s="218"/>
      <c r="S10" s="218"/>
      <c r="T10" s="3"/>
    </row>
    <row r="11" spans="1:20" ht="18.75" customHeight="1">
      <c r="A11" s="33">
        <v>3</v>
      </c>
      <c r="B11" s="60" t="s">
        <v>42</v>
      </c>
      <c r="C11" s="61" t="s">
        <v>79</v>
      </c>
      <c r="D11" s="33">
        <v>1</v>
      </c>
      <c r="E11" s="33">
        <v>1</v>
      </c>
      <c r="F11" s="240">
        <f>33560*12</f>
        <v>402720</v>
      </c>
      <c r="G11" s="220">
        <f>3500*12</f>
        <v>42000</v>
      </c>
      <c r="H11" s="241">
        <v>1</v>
      </c>
      <c r="I11" s="241">
        <v>1</v>
      </c>
      <c r="J11" s="241">
        <v>1</v>
      </c>
      <c r="K11" s="38" t="s">
        <v>6</v>
      </c>
      <c r="L11" s="38" t="s">
        <v>6</v>
      </c>
      <c r="M11" s="225" t="s">
        <v>6</v>
      </c>
      <c r="N11" s="217">
        <f>(34680-33560)*12</f>
        <v>13440</v>
      </c>
      <c r="O11" s="218">
        <f>(35770-34680)*12</f>
        <v>13080</v>
      </c>
      <c r="P11" s="217">
        <f>(36860-35770)*12</f>
        <v>13080</v>
      </c>
      <c r="Q11" s="218">
        <f>F11+G11+N11</f>
        <v>458160</v>
      </c>
      <c r="R11" s="218">
        <f aca="true" t="shared" si="0" ref="R11:S17">Q11+O11</f>
        <v>471240</v>
      </c>
      <c r="S11" s="218">
        <f t="shared" si="0"/>
        <v>484320</v>
      </c>
      <c r="T11" s="287" t="s">
        <v>91</v>
      </c>
    </row>
    <row r="12" spans="1:20" ht="18" customHeight="1">
      <c r="A12" s="61">
        <v>4</v>
      </c>
      <c r="B12" s="62" t="s">
        <v>43</v>
      </c>
      <c r="C12" s="61" t="s">
        <v>79</v>
      </c>
      <c r="D12" s="33">
        <v>1</v>
      </c>
      <c r="E12" s="33">
        <v>1</v>
      </c>
      <c r="F12" s="240">
        <f>30220*12</f>
        <v>362640</v>
      </c>
      <c r="G12" s="220">
        <f>1500*12</f>
        <v>18000</v>
      </c>
      <c r="H12" s="241">
        <v>1</v>
      </c>
      <c r="I12" s="241">
        <v>1</v>
      </c>
      <c r="J12" s="241">
        <v>1</v>
      </c>
      <c r="K12" s="38" t="s">
        <v>6</v>
      </c>
      <c r="L12" s="38" t="s">
        <v>6</v>
      </c>
      <c r="M12" s="38" t="s">
        <v>6</v>
      </c>
      <c r="N12" s="217">
        <f>(31340-30220)*12</f>
        <v>13440</v>
      </c>
      <c r="O12" s="217">
        <f>(32450-31340)*12</f>
        <v>13320</v>
      </c>
      <c r="P12" s="217">
        <f>(33560-32450)*12</f>
        <v>13320</v>
      </c>
      <c r="Q12" s="218">
        <f>F12+G12+N12</f>
        <v>394080</v>
      </c>
      <c r="R12" s="218">
        <f t="shared" si="0"/>
        <v>407400</v>
      </c>
      <c r="S12" s="218">
        <f t="shared" si="0"/>
        <v>420720</v>
      </c>
      <c r="T12" s="287" t="s">
        <v>92</v>
      </c>
    </row>
    <row r="13" spans="1:20" ht="18" customHeight="1">
      <c r="A13" s="63">
        <v>5</v>
      </c>
      <c r="B13" s="64" t="s">
        <v>38</v>
      </c>
      <c r="C13" s="61" t="s">
        <v>80</v>
      </c>
      <c r="D13" s="66">
        <v>1</v>
      </c>
      <c r="E13" s="67">
        <v>1</v>
      </c>
      <c r="F13" s="240">
        <f>29680*12</f>
        <v>356160</v>
      </c>
      <c r="G13" s="224">
        <v>0</v>
      </c>
      <c r="H13" s="241">
        <v>1</v>
      </c>
      <c r="I13" s="241">
        <v>1</v>
      </c>
      <c r="J13" s="241">
        <v>1</v>
      </c>
      <c r="K13" s="256" t="s">
        <v>6</v>
      </c>
      <c r="L13" s="256" t="s">
        <v>6</v>
      </c>
      <c r="M13" s="256" t="s">
        <v>6</v>
      </c>
      <c r="N13" s="257">
        <f>(30790-29680)*12</f>
        <v>13320</v>
      </c>
      <c r="O13" s="257">
        <f>(31880-30790)*12</f>
        <v>13080</v>
      </c>
      <c r="P13" s="257">
        <f>(33000-31880)*12</f>
        <v>13440</v>
      </c>
      <c r="Q13" s="218">
        <f>F13+G13+N13</f>
        <v>369480</v>
      </c>
      <c r="R13" s="218">
        <f t="shared" si="0"/>
        <v>382560</v>
      </c>
      <c r="S13" s="218">
        <f t="shared" si="0"/>
        <v>396000</v>
      </c>
      <c r="T13" s="287" t="s">
        <v>93</v>
      </c>
    </row>
    <row r="14" spans="1:21" ht="18" customHeight="1">
      <c r="A14" s="33">
        <v>6</v>
      </c>
      <c r="B14" s="56" t="s">
        <v>37</v>
      </c>
      <c r="C14" s="65" t="s">
        <v>80</v>
      </c>
      <c r="D14" s="68">
        <v>1</v>
      </c>
      <c r="E14" s="61">
        <v>1</v>
      </c>
      <c r="F14" s="240">
        <f>38520*12</f>
        <v>462240</v>
      </c>
      <c r="G14" s="224">
        <v>0</v>
      </c>
      <c r="H14" s="241">
        <v>1</v>
      </c>
      <c r="I14" s="241">
        <v>1</v>
      </c>
      <c r="J14" s="241">
        <v>1</v>
      </c>
      <c r="K14" s="28" t="s">
        <v>6</v>
      </c>
      <c r="L14" s="28" t="s">
        <v>6</v>
      </c>
      <c r="M14" s="28" t="s">
        <v>6</v>
      </c>
      <c r="N14" s="230">
        <f>(39630-38520)*12</f>
        <v>13320</v>
      </c>
      <c r="O14" s="230">
        <f>(40900-39630)*12</f>
        <v>15240</v>
      </c>
      <c r="P14" s="230">
        <f>(42210-40900)*12</f>
        <v>15720</v>
      </c>
      <c r="Q14" s="218">
        <f>F14+N14</f>
        <v>475560</v>
      </c>
      <c r="R14" s="218">
        <f t="shared" si="0"/>
        <v>490800</v>
      </c>
      <c r="S14" s="218">
        <f t="shared" si="0"/>
        <v>506520</v>
      </c>
      <c r="T14" s="287" t="s">
        <v>94</v>
      </c>
      <c r="U14" s="2"/>
    </row>
    <row r="15" spans="1:20" ht="18" customHeight="1">
      <c r="A15" s="47">
        <v>7</v>
      </c>
      <c r="B15" s="64" t="s">
        <v>24</v>
      </c>
      <c r="C15" s="69" t="s">
        <v>81</v>
      </c>
      <c r="D15" s="68">
        <v>1</v>
      </c>
      <c r="E15" s="61">
        <v>1</v>
      </c>
      <c r="F15" s="240">
        <f>24730*12</f>
        <v>296760</v>
      </c>
      <c r="G15" s="224">
        <v>0</v>
      </c>
      <c r="H15" s="241">
        <v>1</v>
      </c>
      <c r="I15" s="241">
        <v>1</v>
      </c>
      <c r="J15" s="241">
        <v>1</v>
      </c>
      <c r="K15" s="225" t="s">
        <v>6</v>
      </c>
      <c r="L15" s="237" t="s">
        <v>6</v>
      </c>
      <c r="M15" s="237" t="s">
        <v>6</v>
      </c>
      <c r="N15" s="230">
        <f>(25660-24730)*12</f>
        <v>11160</v>
      </c>
      <c r="O15" s="230">
        <f>(26580-25660)*12</f>
        <v>11040</v>
      </c>
      <c r="P15" s="230">
        <f>(27490-26580)*12</f>
        <v>10920</v>
      </c>
      <c r="Q15" s="218">
        <f>F15+N15</f>
        <v>307920</v>
      </c>
      <c r="R15" s="218">
        <f t="shared" si="0"/>
        <v>318960</v>
      </c>
      <c r="S15" s="218">
        <f t="shared" si="0"/>
        <v>329880</v>
      </c>
      <c r="T15" s="287" t="s">
        <v>95</v>
      </c>
    </row>
    <row r="16" spans="1:20" ht="18" customHeight="1">
      <c r="A16" s="47">
        <v>8</v>
      </c>
      <c r="B16" s="64" t="s">
        <v>26</v>
      </c>
      <c r="C16" s="69" t="s">
        <v>81</v>
      </c>
      <c r="D16" s="68">
        <v>1</v>
      </c>
      <c r="E16" s="61">
        <v>1</v>
      </c>
      <c r="F16" s="240">
        <f>22920*12</f>
        <v>275040</v>
      </c>
      <c r="G16" s="224">
        <v>0</v>
      </c>
      <c r="H16" s="241">
        <v>1</v>
      </c>
      <c r="I16" s="241">
        <v>1</v>
      </c>
      <c r="J16" s="241">
        <v>1</v>
      </c>
      <c r="K16" s="225" t="s">
        <v>6</v>
      </c>
      <c r="L16" s="28" t="s">
        <v>6</v>
      </c>
      <c r="M16" s="28" t="s">
        <v>6</v>
      </c>
      <c r="N16" s="230">
        <f>(23820-22920)*12</f>
        <v>10800</v>
      </c>
      <c r="O16" s="230">
        <f>(24730-23820)*12</f>
        <v>10920</v>
      </c>
      <c r="P16" s="230">
        <f>(25660-24730)*12</f>
        <v>11160</v>
      </c>
      <c r="Q16" s="218">
        <f>F16+N16</f>
        <v>285840</v>
      </c>
      <c r="R16" s="218">
        <f t="shared" si="0"/>
        <v>296760</v>
      </c>
      <c r="S16" s="218">
        <f t="shared" si="0"/>
        <v>307920</v>
      </c>
      <c r="T16" s="287" t="s">
        <v>96</v>
      </c>
    </row>
    <row r="17" spans="1:20" ht="17.25" customHeight="1">
      <c r="A17" s="72">
        <v>9</v>
      </c>
      <c r="B17" s="87" t="s">
        <v>85</v>
      </c>
      <c r="C17" s="61" t="s">
        <v>82</v>
      </c>
      <c r="D17" s="68">
        <v>1</v>
      </c>
      <c r="E17" s="70" t="s">
        <v>63</v>
      </c>
      <c r="F17" s="240">
        <f>(8750+40900)/2*12</f>
        <v>297900</v>
      </c>
      <c r="G17" s="224">
        <v>0</v>
      </c>
      <c r="H17" s="241">
        <v>1</v>
      </c>
      <c r="I17" s="241">
        <v>1</v>
      </c>
      <c r="J17" s="241">
        <v>1</v>
      </c>
      <c r="K17" s="225" t="s">
        <v>6</v>
      </c>
      <c r="L17" s="38" t="s">
        <v>6</v>
      </c>
      <c r="M17" s="38" t="s">
        <v>6</v>
      </c>
      <c r="N17" s="218">
        <f>((9090-8750)+(40900-39620))*12/2</f>
        <v>9720</v>
      </c>
      <c r="O17" s="218">
        <f>((9090-8750)+(40900-39620))*12/2</f>
        <v>9720</v>
      </c>
      <c r="P17" s="218">
        <f>((9090-8750)+(40900-39620))*12/2</f>
        <v>9720</v>
      </c>
      <c r="Q17" s="218">
        <f>F17+N17</f>
        <v>307620</v>
      </c>
      <c r="R17" s="218">
        <f t="shared" si="0"/>
        <v>317340</v>
      </c>
      <c r="S17" s="218">
        <f t="shared" si="0"/>
        <v>327060</v>
      </c>
      <c r="T17" s="195" t="s">
        <v>84</v>
      </c>
    </row>
    <row r="18" spans="1:20" s="4" customFormat="1" ht="15.75" customHeight="1">
      <c r="A18" s="57"/>
      <c r="B18" s="71" t="s">
        <v>9</v>
      </c>
      <c r="C18" s="71"/>
      <c r="D18" s="33"/>
      <c r="E18" s="72"/>
      <c r="F18" s="22"/>
      <c r="G18" s="201"/>
      <c r="H18" s="241"/>
      <c r="I18" s="241"/>
      <c r="J18" s="241"/>
      <c r="K18" s="35"/>
      <c r="L18" s="35"/>
      <c r="M18" s="35"/>
      <c r="N18" s="35"/>
      <c r="O18" s="35"/>
      <c r="P18" s="35"/>
      <c r="Q18" s="35"/>
      <c r="R18" s="35"/>
      <c r="S18" s="35"/>
      <c r="T18" s="18"/>
    </row>
    <row r="19" spans="1:20" s="140" customFormat="1" ht="25.5" customHeight="1">
      <c r="A19" s="277">
        <v>10</v>
      </c>
      <c r="B19" s="278" t="s">
        <v>98</v>
      </c>
      <c r="C19" s="278"/>
      <c r="D19" s="279">
        <v>1</v>
      </c>
      <c r="E19" s="280">
        <v>1</v>
      </c>
      <c r="F19" s="281">
        <f>20680*12</f>
        <v>248160</v>
      </c>
      <c r="G19" s="282">
        <v>0</v>
      </c>
      <c r="H19" s="283">
        <v>1</v>
      </c>
      <c r="I19" s="283">
        <v>1</v>
      </c>
      <c r="J19" s="283">
        <v>1</v>
      </c>
      <c r="K19" s="284" t="s">
        <v>6</v>
      </c>
      <c r="L19" s="285" t="s">
        <v>6</v>
      </c>
      <c r="M19" s="285" t="s">
        <v>6</v>
      </c>
      <c r="N19" s="285" t="s">
        <v>6</v>
      </c>
      <c r="O19" s="285" t="s">
        <v>6</v>
      </c>
      <c r="P19" s="285" t="s">
        <v>6</v>
      </c>
      <c r="Q19" s="285" t="s">
        <v>6</v>
      </c>
      <c r="R19" s="285" t="s">
        <v>6</v>
      </c>
      <c r="S19" s="285" t="s">
        <v>6</v>
      </c>
      <c r="T19" s="288" t="s">
        <v>97</v>
      </c>
    </row>
    <row r="20" spans="1:20" ht="17.25" customHeight="1">
      <c r="A20" s="57"/>
      <c r="B20" s="215" t="s">
        <v>12</v>
      </c>
      <c r="C20" s="73"/>
      <c r="D20" s="74"/>
      <c r="E20" s="75"/>
      <c r="F20" s="259"/>
      <c r="G20" s="260"/>
      <c r="H20" s="241"/>
      <c r="I20" s="241"/>
      <c r="J20" s="241"/>
      <c r="K20" s="261"/>
      <c r="L20" s="262"/>
      <c r="M20" s="262"/>
      <c r="N20" s="263"/>
      <c r="O20" s="264"/>
      <c r="P20" s="265"/>
      <c r="Q20" s="266"/>
      <c r="R20" s="266"/>
      <c r="S20" s="266"/>
      <c r="T20" s="3"/>
    </row>
    <row r="21" spans="1:20" ht="15.75" customHeight="1">
      <c r="A21" s="33">
        <v>11</v>
      </c>
      <c r="B21" s="76" t="s">
        <v>28</v>
      </c>
      <c r="C21" s="76"/>
      <c r="D21" s="33">
        <v>1</v>
      </c>
      <c r="E21" s="33">
        <v>1</v>
      </c>
      <c r="F21" s="228">
        <f>14380*12</f>
        <v>172560</v>
      </c>
      <c r="G21" s="224">
        <v>0</v>
      </c>
      <c r="H21" s="241">
        <v>1</v>
      </c>
      <c r="I21" s="241">
        <v>1</v>
      </c>
      <c r="J21" s="241">
        <v>1</v>
      </c>
      <c r="K21" s="38" t="s">
        <v>6</v>
      </c>
      <c r="L21" s="38" t="s">
        <v>6</v>
      </c>
      <c r="M21" s="38" t="s">
        <v>6</v>
      </c>
      <c r="N21" s="234">
        <v>6960</v>
      </c>
      <c r="O21" s="231">
        <v>7200</v>
      </c>
      <c r="P21" s="232">
        <v>7560</v>
      </c>
      <c r="Q21" s="218">
        <f>F21+N21</f>
        <v>179520</v>
      </c>
      <c r="R21" s="218">
        <f aca="true" t="shared" si="1" ref="R21:S25">Q21+O21</f>
        <v>186720</v>
      </c>
      <c r="S21" s="218">
        <f t="shared" si="1"/>
        <v>194280</v>
      </c>
      <c r="T21" s="287" t="s">
        <v>99</v>
      </c>
    </row>
    <row r="22" spans="1:20" ht="15.75" customHeight="1">
      <c r="A22" s="33">
        <v>12</v>
      </c>
      <c r="B22" s="76" t="s">
        <v>19</v>
      </c>
      <c r="C22" s="76"/>
      <c r="D22" s="33">
        <v>1</v>
      </c>
      <c r="E22" s="33">
        <v>1</v>
      </c>
      <c r="F22" s="228">
        <f>14410*12</f>
        <v>172920</v>
      </c>
      <c r="G22" s="224">
        <v>0</v>
      </c>
      <c r="H22" s="229">
        <v>1</v>
      </c>
      <c r="I22" s="229">
        <v>1</v>
      </c>
      <c r="J22" s="229">
        <v>1</v>
      </c>
      <c r="K22" s="38" t="s">
        <v>6</v>
      </c>
      <c r="L22" s="38" t="s">
        <v>6</v>
      </c>
      <c r="M22" s="38" t="s">
        <v>6</v>
      </c>
      <c r="N22" s="234">
        <v>6960</v>
      </c>
      <c r="O22" s="231">
        <v>7200</v>
      </c>
      <c r="P22" s="232">
        <v>7560</v>
      </c>
      <c r="Q22" s="218">
        <f>F22+N22</f>
        <v>179880</v>
      </c>
      <c r="R22" s="218">
        <f t="shared" si="1"/>
        <v>187080</v>
      </c>
      <c r="S22" s="218">
        <f t="shared" si="1"/>
        <v>194640</v>
      </c>
      <c r="T22" s="287" t="s">
        <v>100</v>
      </c>
    </row>
    <row r="23" spans="1:20" ht="15.75" customHeight="1">
      <c r="A23" s="33">
        <v>13</v>
      </c>
      <c r="B23" s="76" t="s">
        <v>19</v>
      </c>
      <c r="C23" s="76"/>
      <c r="D23" s="33">
        <v>1</v>
      </c>
      <c r="E23" s="33">
        <v>1</v>
      </c>
      <c r="F23" s="228">
        <f>13260*12</f>
        <v>159120</v>
      </c>
      <c r="G23" s="224">
        <v>0</v>
      </c>
      <c r="H23" s="229">
        <v>1</v>
      </c>
      <c r="I23" s="229">
        <v>1</v>
      </c>
      <c r="J23" s="229">
        <v>1</v>
      </c>
      <c r="K23" s="38" t="s">
        <v>6</v>
      </c>
      <c r="L23" s="38" t="s">
        <v>6</v>
      </c>
      <c r="M23" s="38" t="s">
        <v>6</v>
      </c>
      <c r="N23" s="230">
        <v>6480</v>
      </c>
      <c r="O23" s="231">
        <v>6720</v>
      </c>
      <c r="P23" s="232">
        <v>6960</v>
      </c>
      <c r="Q23" s="218">
        <f>F23+N23</f>
        <v>165600</v>
      </c>
      <c r="R23" s="218">
        <f t="shared" si="1"/>
        <v>172320</v>
      </c>
      <c r="S23" s="218">
        <f t="shared" si="1"/>
        <v>179280</v>
      </c>
      <c r="T23" s="287" t="s">
        <v>101</v>
      </c>
    </row>
    <row r="24" spans="1:20" ht="15.75" customHeight="1">
      <c r="A24" s="33">
        <v>14</v>
      </c>
      <c r="B24" s="76" t="s">
        <v>29</v>
      </c>
      <c r="C24" s="76"/>
      <c r="D24" s="33">
        <v>1</v>
      </c>
      <c r="E24" s="33">
        <v>1</v>
      </c>
      <c r="F24" s="228">
        <f>13570*12</f>
        <v>162840</v>
      </c>
      <c r="G24" s="224">
        <v>0</v>
      </c>
      <c r="H24" s="229">
        <v>1</v>
      </c>
      <c r="I24" s="229">
        <v>1</v>
      </c>
      <c r="J24" s="229">
        <v>1</v>
      </c>
      <c r="K24" s="38" t="s">
        <v>6</v>
      </c>
      <c r="L24" s="38" t="s">
        <v>6</v>
      </c>
      <c r="M24" s="38" t="s">
        <v>6</v>
      </c>
      <c r="N24" s="230">
        <v>6600</v>
      </c>
      <c r="O24" s="231">
        <v>6840</v>
      </c>
      <c r="P24" s="232">
        <v>7080</v>
      </c>
      <c r="Q24" s="218">
        <f>F24+N24</f>
        <v>169440</v>
      </c>
      <c r="R24" s="218">
        <f t="shared" si="1"/>
        <v>176280</v>
      </c>
      <c r="S24" s="218">
        <f t="shared" si="1"/>
        <v>183360</v>
      </c>
      <c r="T24" s="287" t="s">
        <v>102</v>
      </c>
    </row>
    <row r="25" spans="1:20" ht="15.75" customHeight="1">
      <c r="A25" s="33">
        <v>15</v>
      </c>
      <c r="B25" s="99" t="s">
        <v>29</v>
      </c>
      <c r="C25" s="99"/>
      <c r="D25" s="47">
        <v>1</v>
      </c>
      <c r="E25" s="47">
        <v>1</v>
      </c>
      <c r="F25" s="228">
        <f>13240*12</f>
        <v>158880</v>
      </c>
      <c r="G25" s="224">
        <v>0</v>
      </c>
      <c r="H25" s="267">
        <v>1</v>
      </c>
      <c r="I25" s="267">
        <v>1</v>
      </c>
      <c r="J25" s="267">
        <v>1</v>
      </c>
      <c r="K25" s="139" t="s">
        <v>6</v>
      </c>
      <c r="L25" s="139" t="s">
        <v>6</v>
      </c>
      <c r="M25" s="139" t="s">
        <v>6</v>
      </c>
      <c r="N25" s="268">
        <v>6360</v>
      </c>
      <c r="O25" s="269">
        <v>6720</v>
      </c>
      <c r="P25" s="37">
        <v>6960</v>
      </c>
      <c r="Q25" s="218">
        <f>F25+N25</f>
        <v>165240</v>
      </c>
      <c r="R25" s="218">
        <f t="shared" si="1"/>
        <v>171960</v>
      </c>
      <c r="S25" s="218">
        <f t="shared" si="1"/>
        <v>178920</v>
      </c>
      <c r="T25" s="287" t="s">
        <v>103</v>
      </c>
    </row>
    <row r="26" spans="1:20" ht="15.75" customHeight="1">
      <c r="A26" s="30"/>
      <c r="B26" s="134"/>
      <c r="C26" s="134"/>
      <c r="D26" s="30"/>
      <c r="E26" s="30"/>
      <c r="F26" s="138"/>
      <c r="G26" s="138"/>
      <c r="H26" s="135"/>
      <c r="I26" s="135"/>
      <c r="J26" s="135"/>
      <c r="K26" s="141"/>
      <c r="L26" s="141"/>
      <c r="M26" s="141"/>
      <c r="N26" s="142"/>
      <c r="O26" s="137"/>
      <c r="P26" s="143"/>
      <c r="Q26" s="136"/>
      <c r="R26" s="136"/>
      <c r="S26" s="136"/>
      <c r="T26" s="23"/>
    </row>
    <row r="27" spans="1:20" ht="15.75" customHeight="1">
      <c r="A27" s="31"/>
      <c r="B27" s="132"/>
      <c r="C27" s="132"/>
      <c r="D27" s="31"/>
      <c r="E27" s="31"/>
      <c r="F27" s="197"/>
      <c r="G27" s="197"/>
      <c r="H27" s="131"/>
      <c r="I27" s="131"/>
      <c r="J27" s="131"/>
      <c r="K27" s="162"/>
      <c r="L27" s="162"/>
      <c r="M27" s="162"/>
      <c r="N27" s="198"/>
      <c r="O27" s="199"/>
      <c r="P27" s="200"/>
      <c r="Q27" s="36"/>
      <c r="R27" s="36"/>
      <c r="S27" s="36"/>
      <c r="T27" s="16"/>
    </row>
    <row r="28" spans="1:20" ht="15.75" customHeight="1">
      <c r="A28" s="31"/>
      <c r="B28" s="132"/>
      <c r="C28" s="132"/>
      <c r="D28" s="31"/>
      <c r="E28" s="31"/>
      <c r="F28" s="197"/>
      <c r="G28" s="197"/>
      <c r="H28" s="131"/>
      <c r="I28" s="131"/>
      <c r="J28" s="131"/>
      <c r="K28" s="162"/>
      <c r="L28" s="162"/>
      <c r="M28" s="162"/>
      <c r="N28" s="198"/>
      <c r="O28" s="199"/>
      <c r="P28" s="200"/>
      <c r="Q28" s="36"/>
      <c r="R28" s="36"/>
      <c r="S28" s="36"/>
      <c r="T28" s="16"/>
    </row>
    <row r="29" spans="1:20" ht="15.75" customHeight="1">
      <c r="A29" s="31"/>
      <c r="B29" s="132"/>
      <c r="C29" s="132"/>
      <c r="D29" s="31"/>
      <c r="E29" s="31"/>
      <c r="F29" s="197"/>
      <c r="G29" s="197"/>
      <c r="H29" s="131"/>
      <c r="I29" s="131"/>
      <c r="J29" s="131"/>
      <c r="K29" s="162"/>
      <c r="L29" s="162"/>
      <c r="M29" s="162"/>
      <c r="N29" s="198"/>
      <c r="O29" s="199"/>
      <c r="P29" s="200"/>
      <c r="Q29" s="36"/>
      <c r="R29" s="36"/>
      <c r="S29" s="36"/>
      <c r="T29" s="16"/>
    </row>
    <row r="30" spans="1:20" ht="15.75" customHeight="1">
      <c r="A30" s="31"/>
      <c r="B30" s="132"/>
      <c r="C30" s="132"/>
      <c r="D30" s="31"/>
      <c r="E30" s="31"/>
      <c r="F30" s="197"/>
      <c r="G30" s="197"/>
      <c r="H30" s="131"/>
      <c r="I30" s="131"/>
      <c r="J30" s="131"/>
      <c r="K30" s="162"/>
      <c r="L30" s="162"/>
      <c r="M30" s="162"/>
      <c r="N30" s="198"/>
      <c r="O30" s="199"/>
      <c r="P30" s="200"/>
      <c r="Q30" s="36"/>
      <c r="R30" s="36"/>
      <c r="S30" s="36"/>
      <c r="T30" s="16"/>
    </row>
    <row r="31" spans="1:20" ht="15.75" customHeight="1">
      <c r="A31" s="177"/>
      <c r="B31" s="165"/>
      <c r="C31" s="165"/>
      <c r="D31" s="177"/>
      <c r="E31" s="177"/>
      <c r="F31" s="189"/>
      <c r="G31" s="189"/>
      <c r="H31" s="166"/>
      <c r="I31" s="166"/>
      <c r="J31" s="166"/>
      <c r="K31" s="167"/>
      <c r="L31" s="167"/>
      <c r="M31" s="167"/>
      <c r="N31" s="190"/>
      <c r="O31" s="191"/>
      <c r="P31" s="192"/>
      <c r="Q31" s="168"/>
      <c r="R31" s="189"/>
      <c r="S31" s="189"/>
      <c r="T31" s="196">
        <v>27</v>
      </c>
    </row>
    <row r="32" spans="1:20" ht="18.75" customHeight="1">
      <c r="A32" s="47"/>
      <c r="B32" s="48"/>
      <c r="C32" s="290" t="s">
        <v>120</v>
      </c>
      <c r="D32" s="209" t="s">
        <v>3</v>
      </c>
      <c r="E32" s="294" t="s">
        <v>87</v>
      </c>
      <c r="F32" s="295"/>
      <c r="G32" s="296"/>
      <c r="H32" s="295" t="s">
        <v>16</v>
      </c>
      <c r="I32" s="297"/>
      <c r="J32" s="298"/>
      <c r="K32" s="294" t="s">
        <v>14</v>
      </c>
      <c r="L32" s="295"/>
      <c r="M32" s="296"/>
      <c r="N32" s="299"/>
      <c r="O32" s="300"/>
      <c r="P32" s="300"/>
      <c r="Q32" s="299"/>
      <c r="R32" s="301"/>
      <c r="S32" s="302"/>
      <c r="T32" s="6"/>
    </row>
    <row r="33" spans="1:20" ht="18.75" customHeight="1">
      <c r="A33" s="211" t="s">
        <v>2</v>
      </c>
      <c r="B33" s="207" t="s">
        <v>33</v>
      </c>
      <c r="C33" s="208" t="s">
        <v>121</v>
      </c>
      <c r="D33" s="210" t="s">
        <v>4</v>
      </c>
      <c r="E33" s="303"/>
      <c r="F33" s="304"/>
      <c r="G33" s="305"/>
      <c r="H33" s="303" t="s">
        <v>17</v>
      </c>
      <c r="I33" s="304"/>
      <c r="J33" s="305"/>
      <c r="K33" s="303" t="s">
        <v>15</v>
      </c>
      <c r="L33" s="304"/>
      <c r="M33" s="305"/>
      <c r="N33" s="303" t="s">
        <v>88</v>
      </c>
      <c r="O33" s="304"/>
      <c r="P33" s="305"/>
      <c r="Q33" s="303" t="s">
        <v>60</v>
      </c>
      <c r="R33" s="304"/>
      <c r="S33" s="305"/>
      <c r="T33" s="206" t="s">
        <v>23</v>
      </c>
    </row>
    <row r="34" spans="1:20" ht="18.75" customHeight="1">
      <c r="A34" s="50"/>
      <c r="B34" s="51"/>
      <c r="C34" s="52"/>
      <c r="D34" s="204"/>
      <c r="E34" s="203"/>
      <c r="F34" s="202"/>
      <c r="G34" s="205" t="s">
        <v>59</v>
      </c>
      <c r="H34" s="306" t="s">
        <v>18</v>
      </c>
      <c r="I34" s="307"/>
      <c r="J34" s="308"/>
      <c r="K34" s="309"/>
      <c r="L34" s="310"/>
      <c r="M34" s="310"/>
      <c r="N34" s="309"/>
      <c r="O34" s="311"/>
      <c r="P34" s="312"/>
      <c r="Q34" s="309"/>
      <c r="R34" s="311"/>
      <c r="S34" s="312"/>
      <c r="T34" s="13"/>
    </row>
    <row r="35" spans="1:20" ht="24.75" customHeight="1">
      <c r="A35" s="50"/>
      <c r="B35" s="53"/>
      <c r="C35" s="54"/>
      <c r="D35" s="55"/>
      <c r="E35" s="173" t="s">
        <v>5</v>
      </c>
      <c r="F35" s="286" t="s">
        <v>89</v>
      </c>
      <c r="G35" s="170" t="s">
        <v>61</v>
      </c>
      <c r="H35" s="169">
        <v>2564</v>
      </c>
      <c r="I35" s="169">
        <v>2565</v>
      </c>
      <c r="J35" s="169">
        <v>2566</v>
      </c>
      <c r="K35" s="169">
        <v>2564</v>
      </c>
      <c r="L35" s="169">
        <v>2565</v>
      </c>
      <c r="M35" s="169">
        <v>2566</v>
      </c>
      <c r="N35" s="41">
        <v>2564</v>
      </c>
      <c r="O35" s="41">
        <v>2565</v>
      </c>
      <c r="P35" s="41">
        <v>2566</v>
      </c>
      <c r="Q35" s="41">
        <v>2564</v>
      </c>
      <c r="R35" s="41">
        <v>2565</v>
      </c>
      <c r="S35" s="41">
        <v>2566</v>
      </c>
      <c r="T35" s="17"/>
    </row>
    <row r="36" spans="1:20" ht="15.75" customHeight="1">
      <c r="A36" s="33">
        <v>16</v>
      </c>
      <c r="B36" s="78" t="s">
        <v>64</v>
      </c>
      <c r="C36" s="78"/>
      <c r="D36" s="33">
        <v>1</v>
      </c>
      <c r="E36" s="33" t="s">
        <v>65</v>
      </c>
      <c r="F36" s="214">
        <f>9400*12</f>
        <v>112800</v>
      </c>
      <c r="G36" s="213">
        <v>0</v>
      </c>
      <c r="H36" s="77">
        <v>-1</v>
      </c>
      <c r="I36" s="38" t="s">
        <v>6</v>
      </c>
      <c r="J36" s="38" t="s">
        <v>6</v>
      </c>
      <c r="K36" s="38">
        <v>-1</v>
      </c>
      <c r="L36" s="38" t="s">
        <v>6</v>
      </c>
      <c r="M36" s="38" t="s">
        <v>6</v>
      </c>
      <c r="N36" s="38" t="s">
        <v>6</v>
      </c>
      <c r="O36" s="38" t="s">
        <v>6</v>
      </c>
      <c r="P36" s="38" t="s">
        <v>6</v>
      </c>
      <c r="Q36" s="38" t="s">
        <v>6</v>
      </c>
      <c r="R36" s="38" t="s">
        <v>6</v>
      </c>
      <c r="S36" s="38" t="s">
        <v>6</v>
      </c>
      <c r="T36" s="212" t="s">
        <v>62</v>
      </c>
    </row>
    <row r="37" spans="1:20" ht="15.75" customHeight="1">
      <c r="A37" s="33">
        <v>17</v>
      </c>
      <c r="B37" s="78" t="s">
        <v>30</v>
      </c>
      <c r="C37" s="78"/>
      <c r="D37" s="33">
        <v>1</v>
      </c>
      <c r="E37" s="33">
        <v>1</v>
      </c>
      <c r="F37" s="228">
        <f>13190*12</f>
        <v>158280</v>
      </c>
      <c r="G37" s="224">
        <v>0</v>
      </c>
      <c r="H37" s="229">
        <v>1</v>
      </c>
      <c r="I37" s="229">
        <v>1</v>
      </c>
      <c r="J37" s="229">
        <v>1</v>
      </c>
      <c r="K37" s="38" t="s">
        <v>6</v>
      </c>
      <c r="L37" s="38" t="s">
        <v>6</v>
      </c>
      <c r="M37" s="38" t="s">
        <v>6</v>
      </c>
      <c r="N37" s="230">
        <v>6360</v>
      </c>
      <c r="O37" s="231">
        <v>6600</v>
      </c>
      <c r="P37" s="232">
        <v>6960</v>
      </c>
      <c r="Q37" s="218">
        <f>F37+N37</f>
        <v>164640</v>
      </c>
      <c r="R37" s="218">
        <f aca="true" t="shared" si="2" ref="R37:S39">Q37+O37</f>
        <v>171240</v>
      </c>
      <c r="S37" s="218">
        <f t="shared" si="2"/>
        <v>178200</v>
      </c>
      <c r="T37" s="287" t="s">
        <v>104</v>
      </c>
    </row>
    <row r="38" spans="1:20" ht="15.75" customHeight="1">
      <c r="A38" s="33">
        <v>18</v>
      </c>
      <c r="B38" s="78" t="s">
        <v>30</v>
      </c>
      <c r="C38" s="78"/>
      <c r="D38" s="33">
        <v>1</v>
      </c>
      <c r="E38" s="33">
        <v>1</v>
      </c>
      <c r="F38" s="228">
        <f>13220*12</f>
        <v>158640</v>
      </c>
      <c r="G38" s="224">
        <v>0</v>
      </c>
      <c r="H38" s="229">
        <v>1</v>
      </c>
      <c r="I38" s="229">
        <v>1</v>
      </c>
      <c r="J38" s="229">
        <v>1</v>
      </c>
      <c r="K38" s="38" t="s">
        <v>6</v>
      </c>
      <c r="L38" s="38" t="s">
        <v>6</v>
      </c>
      <c r="M38" s="38" t="s">
        <v>6</v>
      </c>
      <c r="N38" s="230">
        <v>6360</v>
      </c>
      <c r="O38" s="231">
        <v>6600</v>
      </c>
      <c r="P38" s="232">
        <v>6960</v>
      </c>
      <c r="Q38" s="218">
        <f>F38+N38</f>
        <v>165000</v>
      </c>
      <c r="R38" s="218">
        <f t="shared" si="2"/>
        <v>171600</v>
      </c>
      <c r="S38" s="218">
        <f t="shared" si="2"/>
        <v>178560</v>
      </c>
      <c r="T38" s="287" t="s">
        <v>105</v>
      </c>
    </row>
    <row r="39" spans="1:20" ht="15.75" customHeight="1">
      <c r="A39" s="33">
        <v>19</v>
      </c>
      <c r="B39" s="78" t="s">
        <v>30</v>
      </c>
      <c r="C39" s="78"/>
      <c r="D39" s="33">
        <v>1</v>
      </c>
      <c r="E39" s="33">
        <v>1</v>
      </c>
      <c r="F39" s="233">
        <f>12750*12</f>
        <v>153000</v>
      </c>
      <c r="G39" s="224">
        <v>0</v>
      </c>
      <c r="H39" s="229">
        <v>1</v>
      </c>
      <c r="I39" s="229">
        <v>1</v>
      </c>
      <c r="J39" s="229">
        <v>1</v>
      </c>
      <c r="K39" s="38" t="s">
        <v>6</v>
      </c>
      <c r="L39" s="38" t="s">
        <v>6</v>
      </c>
      <c r="M39" s="38" t="s">
        <v>6</v>
      </c>
      <c r="N39" s="234">
        <v>6120</v>
      </c>
      <c r="O39" s="231">
        <v>6480</v>
      </c>
      <c r="P39" s="232">
        <v>6720</v>
      </c>
      <c r="Q39" s="218">
        <f>F39+N39</f>
        <v>159120</v>
      </c>
      <c r="R39" s="218">
        <f t="shared" si="2"/>
        <v>165600</v>
      </c>
      <c r="S39" s="218">
        <f t="shared" si="2"/>
        <v>172320</v>
      </c>
      <c r="T39" s="287" t="s">
        <v>106</v>
      </c>
    </row>
    <row r="40" spans="1:20" ht="15.75" customHeight="1">
      <c r="A40" s="72"/>
      <c r="B40" s="106" t="s">
        <v>35</v>
      </c>
      <c r="C40" s="78"/>
      <c r="D40" s="33"/>
      <c r="E40" s="33"/>
      <c r="F40" s="233"/>
      <c r="G40" s="233"/>
      <c r="H40" s="229"/>
      <c r="I40" s="229"/>
      <c r="J40" s="229"/>
      <c r="K40" s="38"/>
      <c r="L40" s="38"/>
      <c r="M40" s="38"/>
      <c r="N40" s="234"/>
      <c r="O40" s="231"/>
      <c r="P40" s="232"/>
      <c r="Q40" s="218"/>
      <c r="R40" s="218"/>
      <c r="S40" s="218"/>
      <c r="T40" s="3"/>
    </row>
    <row r="41" spans="1:20" ht="15.75" customHeight="1">
      <c r="A41" s="33">
        <v>20</v>
      </c>
      <c r="B41" s="99" t="s">
        <v>20</v>
      </c>
      <c r="C41" s="78"/>
      <c r="D41" s="33"/>
      <c r="E41" s="33"/>
      <c r="F41" s="233">
        <f>9000*12</f>
        <v>108000</v>
      </c>
      <c r="G41" s="224">
        <v>0</v>
      </c>
      <c r="H41" s="229">
        <v>1</v>
      </c>
      <c r="I41" s="229">
        <v>1</v>
      </c>
      <c r="J41" s="229">
        <v>1</v>
      </c>
      <c r="K41" s="38" t="s">
        <v>6</v>
      </c>
      <c r="L41" s="38" t="s">
        <v>6</v>
      </c>
      <c r="M41" s="38" t="s">
        <v>6</v>
      </c>
      <c r="N41" s="235">
        <v>0</v>
      </c>
      <c r="O41" s="235">
        <v>0</v>
      </c>
      <c r="P41" s="235">
        <v>0</v>
      </c>
      <c r="Q41" s="218">
        <f>F41+N41</f>
        <v>108000</v>
      </c>
      <c r="R41" s="218">
        <f>Q41+O41</f>
        <v>108000</v>
      </c>
      <c r="S41" s="218">
        <f>R41+P41</f>
        <v>108000</v>
      </c>
      <c r="T41" s="287" t="s">
        <v>107</v>
      </c>
    </row>
    <row r="42" spans="1:20" ht="15" customHeight="1">
      <c r="A42" s="33"/>
      <c r="B42" s="58" t="s">
        <v>11</v>
      </c>
      <c r="C42" s="58"/>
      <c r="D42" s="61"/>
      <c r="E42" s="61"/>
      <c r="F42" s="109"/>
      <c r="G42" s="109"/>
      <c r="H42" s="236"/>
      <c r="I42" s="236"/>
      <c r="J42" s="236"/>
      <c r="K42" s="225"/>
      <c r="L42" s="28"/>
      <c r="M42" s="22"/>
      <c r="N42" s="234"/>
      <c r="O42" s="237"/>
      <c r="P42" s="217"/>
      <c r="Q42" s="238"/>
      <c r="R42" s="238"/>
      <c r="S42" s="238"/>
      <c r="T42" s="20"/>
    </row>
    <row r="43" spans="1:20" ht="15" customHeight="1">
      <c r="A43" s="33"/>
      <c r="B43" s="59" t="s">
        <v>13</v>
      </c>
      <c r="C43" s="59"/>
      <c r="D43" s="61"/>
      <c r="E43" s="61"/>
      <c r="F43" s="109"/>
      <c r="G43" s="109"/>
      <c r="H43" s="236"/>
      <c r="I43" s="236"/>
      <c r="J43" s="236"/>
      <c r="K43" s="225"/>
      <c r="L43" s="28"/>
      <c r="M43" s="22"/>
      <c r="N43" s="234"/>
      <c r="O43" s="237"/>
      <c r="P43" s="239"/>
      <c r="Q43" s="238"/>
      <c r="R43" s="238"/>
      <c r="S43" s="238"/>
      <c r="T43" s="20"/>
    </row>
    <row r="44" spans="1:20" ht="15" customHeight="1">
      <c r="A44" s="61">
        <v>21</v>
      </c>
      <c r="B44" s="79" t="s">
        <v>47</v>
      </c>
      <c r="C44" s="80" t="s">
        <v>79</v>
      </c>
      <c r="D44" s="70">
        <v>1</v>
      </c>
      <c r="E44" s="33">
        <v>1</v>
      </c>
      <c r="F44" s="240">
        <f>33000*12</f>
        <v>396000</v>
      </c>
      <c r="G44" s="220">
        <f>3500*12</f>
        <v>42000</v>
      </c>
      <c r="H44" s="241">
        <v>1</v>
      </c>
      <c r="I44" s="241">
        <v>1</v>
      </c>
      <c r="J44" s="241">
        <v>1</v>
      </c>
      <c r="K44" s="225" t="s">
        <v>6</v>
      </c>
      <c r="L44" s="38" t="s">
        <v>6</v>
      </c>
      <c r="M44" s="38" t="s">
        <v>6</v>
      </c>
      <c r="N44" s="217">
        <f>(34110-33000)*12</f>
        <v>13320</v>
      </c>
      <c r="O44" s="217">
        <f>(35220-34110)*12</f>
        <v>13320</v>
      </c>
      <c r="P44" s="217">
        <f>(36310-35220)*12</f>
        <v>13080</v>
      </c>
      <c r="Q44" s="218">
        <f>F44+G44+N44</f>
        <v>451320</v>
      </c>
      <c r="R44" s="218">
        <f aca="true" t="shared" si="3" ref="R44:S48">Q44+O44</f>
        <v>464640</v>
      </c>
      <c r="S44" s="218">
        <f t="shared" si="3"/>
        <v>477720</v>
      </c>
      <c r="T44" s="287" t="s">
        <v>108</v>
      </c>
    </row>
    <row r="45" spans="1:20" ht="15" customHeight="1">
      <c r="A45" s="35">
        <v>22</v>
      </c>
      <c r="B45" s="81" t="s">
        <v>48</v>
      </c>
      <c r="C45" s="80" t="s">
        <v>79</v>
      </c>
      <c r="D45" s="33">
        <v>1</v>
      </c>
      <c r="E45" s="33">
        <v>1</v>
      </c>
      <c r="F45" s="240">
        <f>31340*12</f>
        <v>376080</v>
      </c>
      <c r="G45" s="242">
        <f>1500*12</f>
        <v>18000</v>
      </c>
      <c r="H45" s="241">
        <v>1</v>
      </c>
      <c r="I45" s="241">
        <v>1</v>
      </c>
      <c r="J45" s="241">
        <v>1</v>
      </c>
      <c r="K45" s="38" t="s">
        <v>6</v>
      </c>
      <c r="L45" s="38" t="s">
        <v>6</v>
      </c>
      <c r="M45" s="38" t="s">
        <v>6</v>
      </c>
      <c r="N45" s="217">
        <f>(32450-31340)*12</f>
        <v>13320</v>
      </c>
      <c r="O45" s="217">
        <f>(33560-32450)*12</f>
        <v>13320</v>
      </c>
      <c r="P45" s="217">
        <f>(34680-33560)*12</f>
        <v>13440</v>
      </c>
      <c r="Q45" s="218">
        <f>F45+G45+N45</f>
        <v>407400</v>
      </c>
      <c r="R45" s="218">
        <f t="shared" si="3"/>
        <v>420720</v>
      </c>
      <c r="S45" s="218">
        <f t="shared" si="3"/>
        <v>434160</v>
      </c>
      <c r="T45" s="287" t="s">
        <v>109</v>
      </c>
    </row>
    <row r="46" spans="1:20" ht="15" customHeight="1">
      <c r="A46" s="61">
        <v>23</v>
      </c>
      <c r="B46" s="82" t="s">
        <v>25</v>
      </c>
      <c r="C46" s="69" t="s">
        <v>83</v>
      </c>
      <c r="D46" s="70">
        <v>1</v>
      </c>
      <c r="E46" s="33">
        <v>1</v>
      </c>
      <c r="F46" s="240">
        <f>22600*12</f>
        <v>271200</v>
      </c>
      <c r="G46" s="224">
        <v>0</v>
      </c>
      <c r="H46" s="241">
        <v>1</v>
      </c>
      <c r="I46" s="241">
        <v>1</v>
      </c>
      <c r="J46" s="241">
        <v>1</v>
      </c>
      <c r="K46" s="38" t="s">
        <v>6</v>
      </c>
      <c r="L46" s="38" t="s">
        <v>6</v>
      </c>
      <c r="M46" s="38" t="s">
        <v>6</v>
      </c>
      <c r="N46" s="217">
        <f>(23340-22600)*12</f>
        <v>8880</v>
      </c>
      <c r="O46" s="217">
        <f>(24090-23340)*12</f>
        <v>9000</v>
      </c>
      <c r="P46" s="217">
        <f>(24870-24090)*12</f>
        <v>9360</v>
      </c>
      <c r="Q46" s="218">
        <f>F46+G46+N46</f>
        <v>280080</v>
      </c>
      <c r="R46" s="218">
        <f t="shared" si="3"/>
        <v>289080</v>
      </c>
      <c r="S46" s="218">
        <f t="shared" si="3"/>
        <v>298440</v>
      </c>
      <c r="T46" s="287" t="s">
        <v>110</v>
      </c>
    </row>
    <row r="47" spans="1:20" ht="15" customHeight="1">
      <c r="A47" s="35">
        <v>24</v>
      </c>
      <c r="B47" s="83" t="s">
        <v>34</v>
      </c>
      <c r="C47" s="69" t="s">
        <v>83</v>
      </c>
      <c r="D47" s="84">
        <v>1</v>
      </c>
      <c r="E47" s="33">
        <v>1</v>
      </c>
      <c r="F47" s="240">
        <f>23340*12</f>
        <v>280080</v>
      </c>
      <c r="G47" s="224">
        <v>0</v>
      </c>
      <c r="H47" s="241">
        <v>1</v>
      </c>
      <c r="I47" s="241">
        <v>1</v>
      </c>
      <c r="J47" s="241">
        <v>1</v>
      </c>
      <c r="K47" s="38" t="s">
        <v>6</v>
      </c>
      <c r="L47" s="38" t="s">
        <v>6</v>
      </c>
      <c r="M47" s="38" t="s">
        <v>6</v>
      </c>
      <c r="N47" s="217">
        <f>(24090-23340)*12</f>
        <v>9000</v>
      </c>
      <c r="O47" s="217">
        <f>(24870-24090)*12</f>
        <v>9360</v>
      </c>
      <c r="P47" s="217">
        <f>(25670-24870)*12</f>
        <v>9600</v>
      </c>
      <c r="Q47" s="218">
        <f>F47+G47+N47</f>
        <v>289080</v>
      </c>
      <c r="R47" s="218">
        <f t="shared" si="3"/>
        <v>298440</v>
      </c>
      <c r="S47" s="218">
        <f t="shared" si="3"/>
        <v>308040</v>
      </c>
      <c r="T47" s="287" t="s">
        <v>111</v>
      </c>
    </row>
    <row r="48" spans="1:20" ht="15" customHeight="1">
      <c r="A48" s="61">
        <v>25</v>
      </c>
      <c r="B48" s="85" t="s">
        <v>24</v>
      </c>
      <c r="C48" s="86" t="s">
        <v>81</v>
      </c>
      <c r="D48" s="68">
        <v>1</v>
      </c>
      <c r="E48" s="33">
        <v>1</v>
      </c>
      <c r="F48" s="240">
        <f>20780*12</f>
        <v>249360</v>
      </c>
      <c r="G48" s="224">
        <v>0</v>
      </c>
      <c r="H48" s="241">
        <v>1</v>
      </c>
      <c r="I48" s="241">
        <v>1</v>
      </c>
      <c r="J48" s="241">
        <v>1</v>
      </c>
      <c r="K48" s="28" t="s">
        <v>6</v>
      </c>
      <c r="L48" s="28" t="s">
        <v>6</v>
      </c>
      <c r="M48" s="28" t="s">
        <v>6</v>
      </c>
      <c r="N48" s="217">
        <f>(21620-20780)*12</f>
        <v>10080</v>
      </c>
      <c r="O48" s="217">
        <f>(22490-21620)*12</f>
        <v>10440</v>
      </c>
      <c r="P48" s="217">
        <f>(23370-22490)*12</f>
        <v>10560</v>
      </c>
      <c r="Q48" s="218">
        <f>F48+G48+N48</f>
        <v>259440</v>
      </c>
      <c r="R48" s="218">
        <f t="shared" si="3"/>
        <v>269880</v>
      </c>
      <c r="S48" s="218">
        <f t="shared" si="3"/>
        <v>280440</v>
      </c>
      <c r="T48" s="287" t="s">
        <v>112</v>
      </c>
    </row>
    <row r="49" spans="1:20" ht="15" customHeight="1">
      <c r="A49" s="33"/>
      <c r="B49" s="58" t="s">
        <v>10</v>
      </c>
      <c r="C49" s="58"/>
      <c r="D49" s="33"/>
      <c r="E49" s="87"/>
      <c r="F49" s="243"/>
      <c r="G49" s="243"/>
      <c r="H49" s="244"/>
      <c r="I49" s="244"/>
      <c r="J49" s="244"/>
      <c r="K49" s="38"/>
      <c r="L49" s="38"/>
      <c r="M49" s="37"/>
      <c r="N49" s="218"/>
      <c r="O49" s="38"/>
      <c r="P49" s="38"/>
      <c r="Q49" s="38"/>
      <c r="R49" s="38"/>
      <c r="S49" s="38"/>
      <c r="T49" s="24"/>
    </row>
    <row r="50" spans="1:20" ht="15" customHeight="1">
      <c r="A50" s="33"/>
      <c r="B50" s="88" t="s">
        <v>13</v>
      </c>
      <c r="C50" s="88"/>
      <c r="D50" s="57"/>
      <c r="E50" s="89"/>
      <c r="F50" s="245"/>
      <c r="G50" s="245"/>
      <c r="H50" s="246"/>
      <c r="I50" s="246"/>
      <c r="J50" s="246"/>
      <c r="K50" s="221"/>
      <c r="L50" s="221"/>
      <c r="M50" s="232"/>
      <c r="N50" s="217"/>
      <c r="O50" s="221"/>
      <c r="P50" s="221"/>
      <c r="Q50" s="221"/>
      <c r="R50" s="221"/>
      <c r="S50" s="221"/>
      <c r="T50" s="25"/>
    </row>
    <row r="51" spans="1:20" ht="15" customHeight="1">
      <c r="A51" s="91">
        <v>26</v>
      </c>
      <c r="B51" s="90" t="s">
        <v>49</v>
      </c>
      <c r="C51" s="80" t="s">
        <v>79</v>
      </c>
      <c r="D51" s="49">
        <v>1</v>
      </c>
      <c r="E51" s="49">
        <v>1</v>
      </c>
      <c r="F51" s="232">
        <f>33560*12</f>
        <v>402720</v>
      </c>
      <c r="G51" s="232">
        <f>3500*12</f>
        <v>42000</v>
      </c>
      <c r="H51" s="241">
        <v>1</v>
      </c>
      <c r="I51" s="241">
        <v>1</v>
      </c>
      <c r="J51" s="241">
        <v>1</v>
      </c>
      <c r="K51" s="38" t="s">
        <v>6</v>
      </c>
      <c r="L51" s="225" t="s">
        <v>6</v>
      </c>
      <c r="M51" s="225" t="s">
        <v>6</v>
      </c>
      <c r="N51" s="217">
        <f>(34680-33560)*12</f>
        <v>13440</v>
      </c>
      <c r="O51" s="217">
        <f>(35770-34680)*12</f>
        <v>13080</v>
      </c>
      <c r="P51" s="217">
        <f>(36860-35770)*12</f>
        <v>13080</v>
      </c>
      <c r="Q51" s="218">
        <f>F51+G51+N51</f>
        <v>458160</v>
      </c>
      <c r="R51" s="218">
        <f>Q51+O51</f>
        <v>471240</v>
      </c>
      <c r="S51" s="218">
        <f>R51+P51</f>
        <v>484320</v>
      </c>
      <c r="T51" s="287" t="s">
        <v>91</v>
      </c>
    </row>
    <row r="52" spans="1:20" ht="15" customHeight="1">
      <c r="A52" s="72">
        <v>27</v>
      </c>
      <c r="B52" s="92" t="s">
        <v>41</v>
      </c>
      <c r="C52" s="91" t="s">
        <v>81</v>
      </c>
      <c r="D52" s="91">
        <v>1</v>
      </c>
      <c r="E52" s="91">
        <v>1</v>
      </c>
      <c r="F52" s="245">
        <f>30770*12</f>
        <v>369240</v>
      </c>
      <c r="G52" s="224">
        <v>0</v>
      </c>
      <c r="H52" s="241">
        <v>1</v>
      </c>
      <c r="I52" s="241">
        <v>1</v>
      </c>
      <c r="J52" s="241">
        <v>1</v>
      </c>
      <c r="K52" s="38" t="s">
        <v>6</v>
      </c>
      <c r="L52" s="38" t="s">
        <v>6</v>
      </c>
      <c r="M52" s="38" t="s">
        <v>6</v>
      </c>
      <c r="N52" s="217">
        <f>(31760-30770)*12</f>
        <v>11880</v>
      </c>
      <c r="O52" s="217">
        <f>(32790-31760)*12</f>
        <v>12360</v>
      </c>
      <c r="P52" s="217">
        <f>(33870-32790)*12</f>
        <v>12960</v>
      </c>
      <c r="Q52" s="218">
        <f>F52+G52+N52</f>
        <v>381120</v>
      </c>
      <c r="R52" s="218">
        <f>Q52+O52</f>
        <v>393480</v>
      </c>
      <c r="S52" s="218">
        <f>R52+P52</f>
        <v>406440</v>
      </c>
      <c r="T52" s="287" t="s">
        <v>113</v>
      </c>
    </row>
    <row r="53" spans="1:20" ht="15" customHeight="1">
      <c r="A53" s="91"/>
      <c r="B53" s="93" t="s">
        <v>12</v>
      </c>
      <c r="C53" s="94"/>
      <c r="D53" s="95"/>
      <c r="E53" s="96"/>
      <c r="F53" s="243"/>
      <c r="G53" s="243"/>
      <c r="H53" s="244"/>
      <c r="I53" s="244"/>
      <c r="J53" s="244"/>
      <c r="K53" s="38"/>
      <c r="L53" s="38"/>
      <c r="M53" s="38"/>
      <c r="N53" s="218"/>
      <c r="O53" s="247"/>
      <c r="P53" s="247"/>
      <c r="Q53" s="218"/>
      <c r="R53" s="218"/>
      <c r="S53" s="218"/>
      <c r="T53" s="24"/>
    </row>
    <row r="54" spans="1:20" ht="15" customHeight="1">
      <c r="A54" s="72">
        <v>28</v>
      </c>
      <c r="B54" s="98" t="s">
        <v>28</v>
      </c>
      <c r="C54" s="106"/>
      <c r="D54" s="57">
        <v>1</v>
      </c>
      <c r="E54" s="57">
        <v>1</v>
      </c>
      <c r="F54" s="248">
        <f>13340*12</f>
        <v>160080</v>
      </c>
      <c r="G54" s="224">
        <v>0</v>
      </c>
      <c r="H54" s="241">
        <v>1</v>
      </c>
      <c r="I54" s="241">
        <v>1</v>
      </c>
      <c r="J54" s="241">
        <v>1</v>
      </c>
      <c r="K54" s="38" t="s">
        <v>6</v>
      </c>
      <c r="L54" s="38" t="s">
        <v>6</v>
      </c>
      <c r="M54" s="38" t="s">
        <v>6</v>
      </c>
      <c r="N54" s="234">
        <v>6480</v>
      </c>
      <c r="O54" s="231">
        <v>6720</v>
      </c>
      <c r="P54" s="232">
        <v>6960</v>
      </c>
      <c r="Q54" s="218">
        <f>F54+N54</f>
        <v>166560</v>
      </c>
      <c r="R54" s="218">
        <f aca="true" t="shared" si="4" ref="R54:S56">Q54+O54</f>
        <v>173280</v>
      </c>
      <c r="S54" s="218">
        <f t="shared" si="4"/>
        <v>180240</v>
      </c>
      <c r="T54" s="287" t="s">
        <v>114</v>
      </c>
    </row>
    <row r="55" spans="1:20" ht="15" customHeight="1">
      <c r="A55" s="72">
        <v>29</v>
      </c>
      <c r="B55" s="76" t="s">
        <v>31</v>
      </c>
      <c r="C55" s="101"/>
      <c r="D55" s="72">
        <v>1</v>
      </c>
      <c r="E55" s="72">
        <v>1</v>
      </c>
      <c r="F55" s="248">
        <f>14470*12</f>
        <v>173640</v>
      </c>
      <c r="G55" s="224">
        <v>0</v>
      </c>
      <c r="H55" s="241">
        <v>1</v>
      </c>
      <c r="I55" s="241">
        <v>1</v>
      </c>
      <c r="J55" s="241">
        <v>1</v>
      </c>
      <c r="K55" s="38" t="s">
        <v>6</v>
      </c>
      <c r="L55" s="38" t="s">
        <v>6</v>
      </c>
      <c r="M55" s="38" t="s">
        <v>6</v>
      </c>
      <c r="N55" s="234">
        <v>6960</v>
      </c>
      <c r="O55" s="231">
        <v>7320</v>
      </c>
      <c r="P55" s="249">
        <v>7560</v>
      </c>
      <c r="Q55" s="218">
        <f>F55+N55</f>
        <v>180600</v>
      </c>
      <c r="R55" s="218">
        <f t="shared" si="4"/>
        <v>187920</v>
      </c>
      <c r="S55" s="218">
        <f t="shared" si="4"/>
        <v>195480</v>
      </c>
      <c r="T55" s="287" t="s">
        <v>115</v>
      </c>
    </row>
    <row r="56" spans="1:20" ht="15" customHeight="1">
      <c r="A56" s="72">
        <v>30</v>
      </c>
      <c r="B56" s="76" t="s">
        <v>32</v>
      </c>
      <c r="C56" s="99"/>
      <c r="D56" s="97">
        <v>1</v>
      </c>
      <c r="E56" s="97">
        <v>1</v>
      </c>
      <c r="F56" s="250">
        <f>12910*12</f>
        <v>154920</v>
      </c>
      <c r="G56" s="224">
        <v>0</v>
      </c>
      <c r="H56" s="251">
        <v>1</v>
      </c>
      <c r="I56" s="251">
        <v>1</v>
      </c>
      <c r="J56" s="251">
        <v>1</v>
      </c>
      <c r="K56" s="139" t="s">
        <v>6</v>
      </c>
      <c r="L56" s="139" t="s">
        <v>6</v>
      </c>
      <c r="M56" s="139" t="s">
        <v>6</v>
      </c>
      <c r="N56" s="252">
        <v>6240</v>
      </c>
      <c r="O56" s="253">
        <v>6480</v>
      </c>
      <c r="P56" s="254">
        <v>6720</v>
      </c>
      <c r="Q56" s="218">
        <f>F56+N56</f>
        <v>161160</v>
      </c>
      <c r="R56" s="218">
        <f t="shared" si="4"/>
        <v>167640</v>
      </c>
      <c r="S56" s="218">
        <f t="shared" si="4"/>
        <v>174360</v>
      </c>
      <c r="T56" s="287" t="s">
        <v>116</v>
      </c>
    </row>
    <row r="57" spans="1:20" ht="15" customHeight="1">
      <c r="A57" s="40"/>
      <c r="C57" s="134"/>
      <c r="D57" s="40"/>
      <c r="E57" s="40"/>
      <c r="F57" s="163"/>
      <c r="G57" s="163"/>
      <c r="H57" s="135"/>
      <c r="I57" s="135"/>
      <c r="J57" s="135"/>
      <c r="K57" s="141"/>
      <c r="L57" s="141"/>
      <c r="M57" s="141"/>
      <c r="N57" s="136"/>
      <c r="O57" s="136"/>
      <c r="P57" s="136"/>
      <c r="Q57" s="136"/>
      <c r="R57" s="136"/>
      <c r="S57" s="136"/>
      <c r="T57" s="164"/>
    </row>
    <row r="58" spans="1:20" ht="15" customHeight="1">
      <c r="A58" s="193"/>
      <c r="C58" s="132"/>
      <c r="D58" s="193"/>
      <c r="E58" s="193"/>
      <c r="F58" s="161"/>
      <c r="G58" s="161"/>
      <c r="H58" s="131"/>
      <c r="I58" s="131"/>
      <c r="J58" s="131"/>
      <c r="K58" s="162"/>
      <c r="L58" s="162"/>
      <c r="M58" s="162"/>
      <c r="N58" s="36"/>
      <c r="O58" s="36"/>
      <c r="P58" s="36"/>
      <c r="Q58" s="36"/>
      <c r="R58" s="36"/>
      <c r="S58" s="36"/>
      <c r="T58" s="133"/>
    </row>
    <row r="59" spans="1:20" ht="15" customHeight="1">
      <c r="A59" s="193"/>
      <c r="C59" s="132"/>
      <c r="D59" s="193"/>
      <c r="E59" s="193"/>
      <c r="F59" s="161"/>
      <c r="G59" s="161"/>
      <c r="H59" s="131"/>
      <c r="I59" s="131"/>
      <c r="J59" s="131"/>
      <c r="K59" s="162"/>
      <c r="L59" s="162"/>
      <c r="M59" s="162"/>
      <c r="N59" s="36"/>
      <c r="O59" s="36"/>
      <c r="P59" s="36"/>
      <c r="Q59" s="36"/>
      <c r="R59" s="36"/>
      <c r="S59" s="36"/>
      <c r="T59" s="133"/>
    </row>
    <row r="60" spans="1:20" ht="15" customHeight="1">
      <c r="A60" s="193"/>
      <c r="C60" s="132"/>
      <c r="D60" s="193"/>
      <c r="E60" s="193"/>
      <c r="F60" s="161"/>
      <c r="G60" s="161"/>
      <c r="H60" s="131"/>
      <c r="I60" s="131"/>
      <c r="J60" s="131"/>
      <c r="K60" s="162"/>
      <c r="L60" s="162"/>
      <c r="M60" s="162"/>
      <c r="N60" s="36"/>
      <c r="O60" s="36"/>
      <c r="P60" s="36"/>
      <c r="Q60" s="36"/>
      <c r="R60" s="36"/>
      <c r="S60" s="36"/>
      <c r="T60" s="133"/>
    </row>
    <row r="61" spans="1:20" ht="15" customHeight="1">
      <c r="A61" s="193"/>
      <c r="B61" s="132"/>
      <c r="C61" s="132"/>
      <c r="D61" s="193"/>
      <c r="E61" s="193"/>
      <c r="F61" s="161"/>
      <c r="G61" s="161"/>
      <c r="H61" s="131"/>
      <c r="I61" s="131"/>
      <c r="J61" s="131"/>
      <c r="K61" s="162"/>
      <c r="L61" s="162"/>
      <c r="M61" s="162"/>
      <c r="N61" s="36"/>
      <c r="O61" s="36"/>
      <c r="P61" s="36"/>
      <c r="Q61" s="36"/>
      <c r="R61" s="36"/>
      <c r="S61" s="36"/>
      <c r="T61" s="133"/>
    </row>
    <row r="62" spans="1:20" ht="15" customHeight="1">
      <c r="A62" s="193"/>
      <c r="B62" s="132"/>
      <c r="C62" s="132"/>
      <c r="D62" s="193"/>
      <c r="E62" s="193"/>
      <c r="F62" s="161"/>
      <c r="G62" s="161"/>
      <c r="H62" s="131"/>
      <c r="I62" s="131"/>
      <c r="J62" s="131"/>
      <c r="K62" s="162"/>
      <c r="L62" s="162"/>
      <c r="M62" s="162"/>
      <c r="N62" s="36"/>
      <c r="O62" s="36"/>
      <c r="P62" s="36"/>
      <c r="Q62" s="36"/>
      <c r="R62" s="36"/>
      <c r="S62" s="36"/>
      <c r="T62" s="133"/>
    </row>
    <row r="63" spans="1:20" ht="15" customHeight="1">
      <c r="A63" s="193"/>
      <c r="B63" s="132"/>
      <c r="C63" s="132"/>
      <c r="D63" s="193"/>
      <c r="E63" s="193"/>
      <c r="F63" s="161"/>
      <c r="G63" s="161"/>
      <c r="H63" s="131"/>
      <c r="I63" s="131"/>
      <c r="J63" s="131"/>
      <c r="K63" s="162"/>
      <c r="L63" s="162"/>
      <c r="M63" s="162"/>
      <c r="N63" s="36"/>
      <c r="O63" s="36"/>
      <c r="P63" s="36"/>
      <c r="Q63" s="36"/>
      <c r="R63" s="36"/>
      <c r="S63" s="36"/>
      <c r="T63" s="133"/>
    </row>
    <row r="64" spans="1:20" ht="15" customHeight="1">
      <c r="A64" s="193"/>
      <c r="B64" s="132"/>
      <c r="C64" s="132"/>
      <c r="D64" s="193"/>
      <c r="E64" s="193"/>
      <c r="F64" s="161"/>
      <c r="G64" s="161"/>
      <c r="H64" s="131"/>
      <c r="I64" s="131"/>
      <c r="J64" s="131"/>
      <c r="K64" s="162"/>
      <c r="L64" s="162"/>
      <c r="M64" s="162"/>
      <c r="N64" s="36"/>
      <c r="O64" s="36"/>
      <c r="P64" s="36"/>
      <c r="Q64" s="36"/>
      <c r="R64" s="36"/>
      <c r="S64" s="36"/>
      <c r="T64" s="174">
        <v>28</v>
      </c>
    </row>
    <row r="65" spans="1:20" ht="15" customHeight="1">
      <c r="A65" s="47"/>
      <c r="B65" s="48"/>
      <c r="C65" s="290" t="s">
        <v>120</v>
      </c>
      <c r="D65" s="209" t="s">
        <v>3</v>
      </c>
      <c r="E65" s="294" t="s">
        <v>87</v>
      </c>
      <c r="F65" s="295"/>
      <c r="G65" s="296"/>
      <c r="H65" s="295" t="s">
        <v>16</v>
      </c>
      <c r="I65" s="297"/>
      <c r="J65" s="298"/>
      <c r="K65" s="294" t="s">
        <v>14</v>
      </c>
      <c r="L65" s="295"/>
      <c r="M65" s="296"/>
      <c r="N65" s="299"/>
      <c r="O65" s="300"/>
      <c r="P65" s="300"/>
      <c r="Q65" s="299"/>
      <c r="R65" s="301"/>
      <c r="S65" s="302"/>
      <c r="T65" s="6"/>
    </row>
    <row r="66" spans="1:20" ht="15" customHeight="1">
      <c r="A66" s="211" t="s">
        <v>2</v>
      </c>
      <c r="B66" s="207" t="s">
        <v>33</v>
      </c>
      <c r="C66" s="208" t="s">
        <v>121</v>
      </c>
      <c r="D66" s="210" t="s">
        <v>4</v>
      </c>
      <c r="E66" s="303"/>
      <c r="F66" s="304"/>
      <c r="G66" s="305"/>
      <c r="H66" s="303" t="s">
        <v>17</v>
      </c>
      <c r="I66" s="304"/>
      <c r="J66" s="305"/>
      <c r="K66" s="303" t="s">
        <v>15</v>
      </c>
      <c r="L66" s="304"/>
      <c r="M66" s="305"/>
      <c r="N66" s="303" t="s">
        <v>88</v>
      </c>
      <c r="O66" s="304"/>
      <c r="P66" s="305"/>
      <c r="Q66" s="303" t="s">
        <v>60</v>
      </c>
      <c r="R66" s="304"/>
      <c r="S66" s="305"/>
      <c r="T66" s="206" t="s">
        <v>23</v>
      </c>
    </row>
    <row r="67" spans="1:20" ht="18" customHeight="1">
      <c r="A67" s="50"/>
      <c r="B67" s="51"/>
      <c r="C67" s="52"/>
      <c r="D67" s="204"/>
      <c r="E67" s="203"/>
      <c r="F67" s="202"/>
      <c r="G67" s="205" t="s">
        <v>59</v>
      </c>
      <c r="H67" s="306" t="s">
        <v>18</v>
      </c>
      <c r="I67" s="307"/>
      <c r="J67" s="308"/>
      <c r="K67" s="309"/>
      <c r="L67" s="310"/>
      <c r="M67" s="310"/>
      <c r="N67" s="309"/>
      <c r="O67" s="311"/>
      <c r="P67" s="312"/>
      <c r="Q67" s="309"/>
      <c r="R67" s="311"/>
      <c r="S67" s="312"/>
      <c r="T67" s="13"/>
    </row>
    <row r="68" spans="1:20" ht="22.5" customHeight="1">
      <c r="A68" s="50"/>
      <c r="B68" s="53"/>
      <c r="C68" s="54"/>
      <c r="D68" s="55"/>
      <c r="E68" s="173" t="s">
        <v>5</v>
      </c>
      <c r="F68" s="286" t="s">
        <v>89</v>
      </c>
      <c r="G68" s="170" t="s">
        <v>61</v>
      </c>
      <c r="H68" s="169">
        <v>2564</v>
      </c>
      <c r="I68" s="169">
        <v>2565</v>
      </c>
      <c r="J68" s="169">
        <v>2566</v>
      </c>
      <c r="K68" s="169">
        <v>2564</v>
      </c>
      <c r="L68" s="169">
        <v>2565</v>
      </c>
      <c r="M68" s="169">
        <v>2566</v>
      </c>
      <c r="N68" s="41">
        <v>2564</v>
      </c>
      <c r="O68" s="41">
        <v>2565</v>
      </c>
      <c r="P68" s="41">
        <v>2566</v>
      </c>
      <c r="Q68" s="41">
        <v>2564</v>
      </c>
      <c r="R68" s="41">
        <v>2565</v>
      </c>
      <c r="S68" s="41">
        <v>2566</v>
      </c>
      <c r="T68" s="17"/>
    </row>
    <row r="69" spans="1:20" ht="15.75" customHeight="1">
      <c r="A69" s="146"/>
      <c r="B69" s="151" t="s">
        <v>50</v>
      </c>
      <c r="C69" s="149"/>
      <c r="D69" s="102"/>
      <c r="E69" s="102"/>
      <c r="F69" s="155"/>
      <c r="G69" s="155"/>
      <c r="H69" s="119"/>
      <c r="I69" s="119"/>
      <c r="J69" s="119"/>
      <c r="K69" s="47"/>
      <c r="L69" s="47"/>
      <c r="M69" s="47"/>
      <c r="N69" s="27"/>
      <c r="O69" s="156"/>
      <c r="P69" s="156"/>
      <c r="Q69" s="157"/>
      <c r="R69" s="157"/>
      <c r="S69" s="157"/>
      <c r="T69" s="26"/>
    </row>
    <row r="70" spans="1:20" ht="15.75" customHeight="1">
      <c r="A70" s="147"/>
      <c r="B70" s="152" t="s">
        <v>13</v>
      </c>
      <c r="C70" s="150"/>
      <c r="D70" s="145"/>
      <c r="E70" s="145"/>
      <c r="F70" s="19"/>
      <c r="G70" s="19"/>
      <c r="H70" s="158"/>
      <c r="I70" s="158"/>
      <c r="J70" s="158"/>
      <c r="K70" s="57"/>
      <c r="L70" s="57"/>
      <c r="M70" s="57"/>
      <c r="N70" s="34"/>
      <c r="O70" s="159"/>
      <c r="P70" s="159"/>
      <c r="Q70" s="160"/>
      <c r="R70" s="160"/>
      <c r="S70" s="160"/>
      <c r="T70" s="154"/>
    </row>
    <row r="71" spans="1:20" ht="15.75" customHeight="1">
      <c r="A71" s="103">
        <v>31</v>
      </c>
      <c r="B71" s="148" t="s">
        <v>46</v>
      </c>
      <c r="C71" s="153" t="s">
        <v>79</v>
      </c>
      <c r="D71" s="145">
        <v>1</v>
      </c>
      <c r="E71" s="57">
        <v>1</v>
      </c>
      <c r="F71" s="219">
        <f>30220*12</f>
        <v>362640</v>
      </c>
      <c r="G71" s="220">
        <f>3500*12</f>
        <v>42000</v>
      </c>
      <c r="H71" s="221">
        <v>1</v>
      </c>
      <c r="I71" s="221">
        <v>1</v>
      </c>
      <c r="J71" s="221">
        <v>1</v>
      </c>
      <c r="K71" s="222" t="s">
        <v>6</v>
      </c>
      <c r="L71" s="222" t="s">
        <v>6</v>
      </c>
      <c r="M71" s="221" t="s">
        <v>6</v>
      </c>
      <c r="N71" s="217">
        <f>(31340-30220)*12</f>
        <v>13440</v>
      </c>
      <c r="O71" s="217">
        <f>(32450-31340)*12</f>
        <v>13320</v>
      </c>
      <c r="P71" s="217">
        <f>(33560-32450)*12</f>
        <v>13320</v>
      </c>
      <c r="Q71" s="218">
        <f>F71+G71+N71</f>
        <v>418080</v>
      </c>
      <c r="R71" s="218">
        <f>Q71+O71</f>
        <v>431400</v>
      </c>
      <c r="S71" s="218">
        <f>R71+P71</f>
        <v>444720</v>
      </c>
      <c r="T71" s="287" t="s">
        <v>92</v>
      </c>
    </row>
    <row r="72" spans="1:20" ht="15.75" customHeight="1">
      <c r="A72" s="33">
        <v>32</v>
      </c>
      <c r="B72" s="104" t="s">
        <v>39</v>
      </c>
      <c r="C72" s="28" t="s">
        <v>80</v>
      </c>
      <c r="D72" s="33">
        <v>1</v>
      </c>
      <c r="E72" s="33">
        <v>1</v>
      </c>
      <c r="F72" s="223">
        <f>23550*12</f>
        <v>282600</v>
      </c>
      <c r="G72" s="224">
        <v>0</v>
      </c>
      <c r="H72" s="38">
        <v>1</v>
      </c>
      <c r="I72" s="38">
        <v>1</v>
      </c>
      <c r="J72" s="38">
        <v>1</v>
      </c>
      <c r="K72" s="225" t="s">
        <v>6</v>
      </c>
      <c r="L72" s="226" t="s">
        <v>8</v>
      </c>
      <c r="M72" s="226" t="s">
        <v>8</v>
      </c>
      <c r="N72" s="217">
        <f>(24490-23550)*12</f>
        <v>11280</v>
      </c>
      <c r="O72" s="217">
        <f>(25470-24490)*12</f>
        <v>11760</v>
      </c>
      <c r="P72" s="217">
        <f>(26460-25470)*12</f>
        <v>11880</v>
      </c>
      <c r="Q72" s="218">
        <f>F72+G72+N72</f>
        <v>293880</v>
      </c>
      <c r="R72" s="218">
        <f>Q72+O72</f>
        <v>305640</v>
      </c>
      <c r="S72" s="218">
        <f>R72+P72</f>
        <v>317520</v>
      </c>
      <c r="T72" s="287" t="s">
        <v>122</v>
      </c>
    </row>
    <row r="73" spans="1:20" ht="15.75" customHeight="1">
      <c r="A73" s="33"/>
      <c r="B73" s="105" t="s">
        <v>27</v>
      </c>
      <c r="C73" s="105"/>
      <c r="D73" s="33"/>
      <c r="E73" s="33"/>
      <c r="F73" s="223"/>
      <c r="G73" s="223"/>
      <c r="H73" s="38"/>
      <c r="I73" s="38"/>
      <c r="J73" s="38"/>
      <c r="K73" s="225"/>
      <c r="L73" s="226"/>
      <c r="M73" s="226"/>
      <c r="N73" s="37"/>
      <c r="O73" s="227"/>
      <c r="P73" s="37"/>
      <c r="Q73" s="218"/>
      <c r="R73" s="227"/>
      <c r="S73" s="218"/>
      <c r="T73" s="24"/>
    </row>
    <row r="74" spans="1:20" ht="21.75" customHeight="1">
      <c r="A74" s="33">
        <v>33</v>
      </c>
      <c r="B74" s="106" t="s">
        <v>117</v>
      </c>
      <c r="C74" s="107"/>
      <c r="D74" s="33">
        <v>1</v>
      </c>
      <c r="E74" s="33">
        <v>1</v>
      </c>
      <c r="F74" s="223">
        <f>21050*12</f>
        <v>252600</v>
      </c>
      <c r="G74" s="224">
        <v>0</v>
      </c>
      <c r="H74" s="221">
        <v>1</v>
      </c>
      <c r="I74" s="221">
        <v>1</v>
      </c>
      <c r="J74" s="221">
        <v>1</v>
      </c>
      <c r="K74" s="225" t="s">
        <v>6</v>
      </c>
      <c r="L74" s="226" t="s">
        <v>8</v>
      </c>
      <c r="M74" s="226" t="s">
        <v>8</v>
      </c>
      <c r="N74" s="37"/>
      <c r="O74" s="227"/>
      <c r="P74" s="37"/>
      <c r="Q74" s="218"/>
      <c r="R74" s="227"/>
      <c r="S74" s="218"/>
      <c r="T74" s="289" t="s">
        <v>86</v>
      </c>
    </row>
    <row r="75" spans="1:20" ht="24" customHeight="1">
      <c r="A75" s="72">
        <v>34</v>
      </c>
      <c r="B75" s="106" t="s">
        <v>118</v>
      </c>
      <c r="C75" s="107"/>
      <c r="D75" s="72">
        <v>1</v>
      </c>
      <c r="E75" s="72">
        <v>1</v>
      </c>
      <c r="F75" s="223">
        <f>21120*12</f>
        <v>253440</v>
      </c>
      <c r="G75" s="224">
        <v>0</v>
      </c>
      <c r="H75" s="221">
        <v>1</v>
      </c>
      <c r="I75" s="221">
        <v>1</v>
      </c>
      <c r="J75" s="221">
        <v>1</v>
      </c>
      <c r="K75" s="38" t="s">
        <v>6</v>
      </c>
      <c r="L75" s="38" t="s">
        <v>6</v>
      </c>
      <c r="M75" s="38" t="s">
        <v>6</v>
      </c>
      <c r="N75" s="38" t="s">
        <v>6</v>
      </c>
      <c r="O75" s="38" t="s">
        <v>6</v>
      </c>
      <c r="P75" s="38" t="s">
        <v>6</v>
      </c>
      <c r="Q75" s="38" t="s">
        <v>6</v>
      </c>
      <c r="R75" s="38" t="s">
        <v>6</v>
      </c>
      <c r="S75" s="38" t="s">
        <v>6</v>
      </c>
      <c r="T75" s="289" t="s">
        <v>86</v>
      </c>
    </row>
    <row r="76" spans="1:20" ht="15.75" customHeight="1">
      <c r="A76" s="72"/>
      <c r="B76" s="108" t="s">
        <v>12</v>
      </c>
      <c r="C76" s="108"/>
      <c r="D76" s="72"/>
      <c r="E76" s="35"/>
      <c r="F76" s="109"/>
      <c r="G76" s="109"/>
      <c r="H76" s="110"/>
      <c r="I76" s="110"/>
      <c r="J76" s="110"/>
      <c r="K76" s="39"/>
      <c r="L76" s="39"/>
      <c r="M76" s="39"/>
      <c r="N76" s="39"/>
      <c r="O76" s="39"/>
      <c r="P76" s="39"/>
      <c r="Q76" s="39"/>
      <c r="R76" s="39"/>
      <c r="S76" s="39"/>
      <c r="T76" s="3"/>
    </row>
    <row r="77" spans="1:20" ht="20.25" customHeight="1">
      <c r="A77" s="72">
        <v>35</v>
      </c>
      <c r="B77" s="76" t="s">
        <v>119</v>
      </c>
      <c r="C77" s="76"/>
      <c r="D77" s="72">
        <v>1</v>
      </c>
      <c r="E77" s="72">
        <v>1</v>
      </c>
      <c r="F77" s="248">
        <v>41400</v>
      </c>
      <c r="G77" s="224">
        <v>0</v>
      </c>
      <c r="H77" s="221">
        <v>1</v>
      </c>
      <c r="I77" s="221">
        <v>1</v>
      </c>
      <c r="J77" s="221">
        <v>1</v>
      </c>
      <c r="K77" s="38" t="s">
        <v>6</v>
      </c>
      <c r="L77" s="38" t="s">
        <v>6</v>
      </c>
      <c r="M77" s="38" t="s">
        <v>6</v>
      </c>
      <c r="N77" s="38">
        <f>520*12</f>
        <v>6240</v>
      </c>
      <c r="O77" s="38">
        <f>540*12</f>
        <v>6480</v>
      </c>
      <c r="P77" s="38">
        <f>560*12</f>
        <v>6720</v>
      </c>
      <c r="Q77" s="218">
        <f>F77+G77+N77</f>
        <v>47640</v>
      </c>
      <c r="R77" s="218">
        <f aca="true" t="shared" si="5" ref="R77:S79">Q77+O77</f>
        <v>54120</v>
      </c>
      <c r="S77" s="218">
        <f t="shared" si="5"/>
        <v>60840</v>
      </c>
      <c r="T77" s="289" t="s">
        <v>86</v>
      </c>
    </row>
    <row r="78" spans="1:20" ht="20.25" customHeight="1">
      <c r="A78" s="72">
        <v>36</v>
      </c>
      <c r="B78" s="76" t="s">
        <v>119</v>
      </c>
      <c r="C78" s="99"/>
      <c r="D78" s="97">
        <v>1</v>
      </c>
      <c r="E78" s="97">
        <v>1</v>
      </c>
      <c r="F78" s="111">
        <v>3240</v>
      </c>
      <c r="G78" s="224">
        <v>0</v>
      </c>
      <c r="H78" s="221">
        <v>1</v>
      </c>
      <c r="I78" s="221">
        <v>1</v>
      </c>
      <c r="J78" s="221">
        <v>1</v>
      </c>
      <c r="K78" s="38" t="s">
        <v>6</v>
      </c>
      <c r="L78" s="38" t="s">
        <v>6</v>
      </c>
      <c r="M78" s="38" t="s">
        <v>6</v>
      </c>
      <c r="N78" s="38">
        <f>390*12</f>
        <v>4680</v>
      </c>
      <c r="O78" s="38">
        <f>140*12</f>
        <v>1680</v>
      </c>
      <c r="P78" s="38">
        <f>420*12</f>
        <v>5040</v>
      </c>
      <c r="Q78" s="218">
        <f>F78+G78+N78</f>
        <v>7920</v>
      </c>
      <c r="R78" s="218">
        <f t="shared" si="5"/>
        <v>9600</v>
      </c>
      <c r="S78" s="218">
        <f t="shared" si="5"/>
        <v>14640</v>
      </c>
      <c r="T78" s="289" t="s">
        <v>86</v>
      </c>
    </row>
    <row r="79" spans="1:20" ht="20.25" customHeight="1">
      <c r="A79" s="100">
        <v>37</v>
      </c>
      <c r="B79" s="76" t="s">
        <v>119</v>
      </c>
      <c r="C79" s="76"/>
      <c r="D79" s="97">
        <v>1</v>
      </c>
      <c r="E79" s="97">
        <v>1</v>
      </c>
      <c r="F79" s="109">
        <v>3240</v>
      </c>
      <c r="G79" s="224">
        <v>0</v>
      </c>
      <c r="H79" s="112">
        <v>1</v>
      </c>
      <c r="I79" s="221">
        <v>1</v>
      </c>
      <c r="J79" s="221">
        <v>1</v>
      </c>
      <c r="K79" s="38" t="s">
        <v>6</v>
      </c>
      <c r="L79" s="38" t="s">
        <v>6</v>
      </c>
      <c r="M79" s="38" t="s">
        <v>6</v>
      </c>
      <c r="N79" s="38">
        <f>390*12</f>
        <v>4680</v>
      </c>
      <c r="O79" s="38">
        <f>140*12</f>
        <v>1680</v>
      </c>
      <c r="P79" s="38">
        <f>420*12</f>
        <v>5040</v>
      </c>
      <c r="Q79" s="218">
        <f>F79+G79+N79</f>
        <v>7920</v>
      </c>
      <c r="R79" s="218">
        <f t="shared" si="5"/>
        <v>9600</v>
      </c>
      <c r="S79" s="218">
        <f t="shared" si="5"/>
        <v>14640</v>
      </c>
      <c r="T79" s="289" t="s">
        <v>86</v>
      </c>
    </row>
    <row r="80" spans="1:20" s="5" customFormat="1" ht="15.75" customHeight="1">
      <c r="A80" s="47"/>
      <c r="B80" s="58" t="s">
        <v>36</v>
      </c>
      <c r="C80" s="58"/>
      <c r="D80" s="33"/>
      <c r="E80" s="113"/>
      <c r="F80" s="227"/>
      <c r="G80" s="227"/>
      <c r="H80" s="227"/>
      <c r="I80" s="227"/>
      <c r="J80" s="227"/>
      <c r="K80" s="270"/>
      <c r="L80" s="226"/>
      <c r="M80" s="226"/>
      <c r="N80" s="271"/>
      <c r="O80" s="240"/>
      <c r="P80" s="240"/>
      <c r="Q80" s="271"/>
      <c r="R80" s="271"/>
      <c r="S80" s="271"/>
      <c r="T80" s="3"/>
    </row>
    <row r="81" spans="1:20" s="5" customFormat="1" ht="15.75" customHeight="1">
      <c r="A81" s="47">
        <v>38</v>
      </c>
      <c r="B81" s="114" t="s">
        <v>58</v>
      </c>
      <c r="C81" s="80" t="s">
        <v>123</v>
      </c>
      <c r="D81" s="33">
        <v>1</v>
      </c>
      <c r="E81" s="91">
        <v>1</v>
      </c>
      <c r="F81" s="272">
        <f>33000*12</f>
        <v>396000</v>
      </c>
      <c r="G81" s="220">
        <f>3500*12</f>
        <v>42000</v>
      </c>
      <c r="H81" s="221">
        <v>1</v>
      </c>
      <c r="I81" s="221">
        <v>1</v>
      </c>
      <c r="J81" s="221">
        <v>1</v>
      </c>
      <c r="K81" s="225" t="s">
        <v>6</v>
      </c>
      <c r="L81" s="225" t="s">
        <v>6</v>
      </c>
      <c r="M81" s="225" t="s">
        <v>6</v>
      </c>
      <c r="N81" s="217">
        <f>(34110-33000)*12</f>
        <v>13320</v>
      </c>
      <c r="O81" s="217">
        <f>(35220-34110)*12</f>
        <v>13320</v>
      </c>
      <c r="P81" s="217">
        <f>(36310-35220)*12</f>
        <v>13080</v>
      </c>
      <c r="Q81" s="218">
        <f>F81+G81+N81</f>
        <v>451320</v>
      </c>
      <c r="R81" s="218">
        <f>Q81+O81</f>
        <v>464640</v>
      </c>
      <c r="S81" s="218">
        <f>R81+P81</f>
        <v>477720</v>
      </c>
      <c r="T81" s="287" t="s">
        <v>108</v>
      </c>
    </row>
    <row r="82" spans="1:20" s="5" customFormat="1" ht="15.75" customHeight="1">
      <c r="A82" s="33">
        <v>39</v>
      </c>
      <c r="B82" s="115" t="s">
        <v>40</v>
      </c>
      <c r="C82" s="68" t="s">
        <v>80</v>
      </c>
      <c r="D82" s="84">
        <v>1</v>
      </c>
      <c r="E82" s="33">
        <v>1</v>
      </c>
      <c r="F82" s="223">
        <f>30220*12</f>
        <v>362640</v>
      </c>
      <c r="G82" s="224">
        <v>0</v>
      </c>
      <c r="H82" s="221">
        <v>1</v>
      </c>
      <c r="I82" s="221">
        <v>1</v>
      </c>
      <c r="J82" s="221">
        <v>1</v>
      </c>
      <c r="K82" s="38" t="s">
        <v>6</v>
      </c>
      <c r="L82" s="38" t="s">
        <v>6</v>
      </c>
      <c r="M82" s="225" t="s">
        <v>6</v>
      </c>
      <c r="N82" s="217">
        <f>(31340-30220)*12</f>
        <v>13440</v>
      </c>
      <c r="O82" s="217">
        <f>(32450-31340)*12</f>
        <v>13320</v>
      </c>
      <c r="P82" s="217">
        <f>(33560-32450)*12</f>
        <v>13320</v>
      </c>
      <c r="Q82" s="218">
        <f>F82+G82+N82</f>
        <v>376080</v>
      </c>
      <c r="R82" s="218">
        <f>Q82+O82</f>
        <v>389400</v>
      </c>
      <c r="S82" s="218">
        <f>R82+P82</f>
        <v>402720</v>
      </c>
      <c r="T82" s="287" t="s">
        <v>92</v>
      </c>
    </row>
    <row r="83" spans="1:20" s="5" customFormat="1" ht="15.75" customHeight="1">
      <c r="A83" s="313" t="s">
        <v>21</v>
      </c>
      <c r="B83" s="312"/>
      <c r="C83" s="275"/>
      <c r="D83" s="33">
        <f>SUM(D7:D82)</f>
        <v>38</v>
      </c>
      <c r="E83" s="33">
        <f>SUM(E7:E82)</f>
        <v>36</v>
      </c>
      <c r="F83" s="194">
        <f>SUM(F7:F82)</f>
        <v>9932100</v>
      </c>
      <c r="G83" s="194">
        <f>SUM(G7:G82)</f>
        <v>456000</v>
      </c>
      <c r="H83" s="116"/>
      <c r="I83" s="117"/>
      <c r="J83" s="117"/>
      <c r="K83" s="33"/>
      <c r="L83" s="33"/>
      <c r="M83" s="33"/>
      <c r="N83" s="33"/>
      <c r="O83" s="33"/>
      <c r="P83" s="33"/>
      <c r="Q83" s="144">
        <f>Q7+Q8+Q11+Q12+Q13+Q14+Q15+Q16+Q17+Q21+Q22+Q23+Q24+Q25+Q37+Q38+Q39+Q41+Q44+Q45+Q46+Q47+Q48+Q51+Q52+Q54+Q55+Q56+Q71+Q72+Q77+Q78+Q79+Q81+Q82</f>
        <v>9858180</v>
      </c>
      <c r="R83" s="144">
        <f>R7+R8+R11+R12+R13+R14+R15+R16+R17+R21+R22+R23+R24+R25+R37+R38+R39+R41+R44+R45+R46+R47+R48+R51+R52+R54+R55+R56+R71+R72+R77+R78+R79+R81+R82</f>
        <v>10194540</v>
      </c>
      <c r="S83" s="144">
        <f>S7+S8+S11+S12+S13+S14+S15+S16+S17+S21+S22+S23+S24+S25+S37+S38+S39+S41+S44+S45+S46+S47+S48+S51+S52+S54+S55+S56+S71+S72+S77+S78+S79+S81+S82</f>
        <v>10543140</v>
      </c>
      <c r="T83" s="3"/>
    </row>
    <row r="84" spans="1:20" s="5" customFormat="1" ht="15.75" customHeight="1">
      <c r="A84" s="314" t="s">
        <v>66</v>
      </c>
      <c r="B84" s="315"/>
      <c r="C84" s="276"/>
      <c r="D84" s="33"/>
      <c r="E84" s="87"/>
      <c r="F84" s="21"/>
      <c r="G84" s="21"/>
      <c r="H84" s="21"/>
      <c r="I84" s="21"/>
      <c r="J84" s="21"/>
      <c r="K84" s="41"/>
      <c r="L84" s="41"/>
      <c r="M84" s="41"/>
      <c r="N84" s="41"/>
      <c r="O84" s="41"/>
      <c r="P84" s="41"/>
      <c r="Q84" s="175">
        <f>(Q83*15)/100</f>
        <v>1478727</v>
      </c>
      <c r="R84" s="175">
        <f>(R83*15)/100</f>
        <v>1529181</v>
      </c>
      <c r="S84" s="175">
        <f>(S83*15)/100</f>
        <v>1581471</v>
      </c>
      <c r="T84" s="3"/>
    </row>
    <row r="85" spans="1:20" ht="15.75" customHeight="1">
      <c r="A85" s="314" t="s">
        <v>22</v>
      </c>
      <c r="B85" s="315"/>
      <c r="C85" s="118"/>
      <c r="D85" s="47"/>
      <c r="E85" s="82"/>
      <c r="F85" s="119"/>
      <c r="G85" s="119"/>
      <c r="H85" s="119"/>
      <c r="I85" s="119"/>
      <c r="J85" s="119"/>
      <c r="K85" s="42"/>
      <c r="L85" s="42"/>
      <c r="M85" s="42"/>
      <c r="N85" s="42"/>
      <c r="O85" s="42"/>
      <c r="P85" s="42"/>
      <c r="Q85" s="171">
        <f>Q83+Q84</f>
        <v>11336907</v>
      </c>
      <c r="R85" s="171">
        <f>R83+R84</f>
        <v>11723721</v>
      </c>
      <c r="S85" s="171">
        <f>S83+S84</f>
        <v>12124611</v>
      </c>
      <c r="T85" s="3"/>
    </row>
    <row r="86" spans="1:20" ht="26.25" customHeight="1">
      <c r="A86" s="316" t="s">
        <v>129</v>
      </c>
      <c r="B86" s="317"/>
      <c r="C86" s="276"/>
      <c r="D86" s="33"/>
      <c r="E86" s="87"/>
      <c r="F86" s="120"/>
      <c r="G86" s="120"/>
      <c r="H86" s="21"/>
      <c r="I86" s="21"/>
      <c r="J86" s="21"/>
      <c r="K86" s="43"/>
      <c r="L86" s="43"/>
      <c r="M86" s="43"/>
      <c r="N86" s="43"/>
      <c r="O86" s="43"/>
      <c r="P86" s="43"/>
      <c r="Q86" s="11">
        <f>Q85*100/45325489.9</f>
        <v>25.012210623673813</v>
      </c>
      <c r="R86" s="11">
        <f>R85*100/46685254.59</f>
        <v>25.112256756357553</v>
      </c>
      <c r="S86" s="11">
        <f>S85*100/48085812.22</f>
        <v>25.214528860463115</v>
      </c>
      <c r="T86" s="3"/>
    </row>
    <row r="87" spans="1:20" ht="18" customHeight="1">
      <c r="A87" s="318" t="s">
        <v>127</v>
      </c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11">
        <f>Q85*100/44318549.9</f>
        <v>25.580500773559834</v>
      </c>
      <c r="R87" s="11">
        <f>R85*100/45648106.39</f>
        <v>25.68282000536233</v>
      </c>
      <c r="S87" s="11">
        <f>S85*100/47017549.58</f>
        <v>25.787415780505675</v>
      </c>
      <c r="T87" s="3"/>
    </row>
    <row r="88" spans="1:20" ht="15" customHeight="1">
      <c r="A88" s="318" t="s">
        <v>128</v>
      </c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11">
        <f>Q85*100/32749489.9</f>
        <v>34.61704910402284</v>
      </c>
      <c r="R88" s="11">
        <f>R85*100/33731974.59</f>
        <v>34.755513552045514</v>
      </c>
      <c r="S88" s="11">
        <f>S85*100/34743933.82</f>
        <v>34.897058757982634</v>
      </c>
      <c r="T88" s="3"/>
    </row>
    <row r="89" spans="1:20" ht="18" customHeight="1">
      <c r="A89" s="318" t="s">
        <v>130</v>
      </c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11">
        <f>Q85*100/31742549.9</f>
        <v>35.715174224235845</v>
      </c>
      <c r="R89" s="11">
        <f>R85*100/32694826.39</f>
        <v>35.858031054068555</v>
      </c>
      <c r="S89" s="11">
        <f>S85*100/33675671.18</f>
        <v>36.00406636349631</v>
      </c>
      <c r="T89" s="3"/>
    </row>
    <row r="90" spans="1:20" ht="15.75" customHeight="1">
      <c r="A90" s="324" t="s">
        <v>73</v>
      </c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44"/>
      <c r="R90" s="44"/>
      <c r="S90" s="44"/>
      <c r="T90" s="16"/>
    </row>
    <row r="91" spans="1:20" ht="15.75" customHeight="1">
      <c r="A91" s="325" t="s">
        <v>124</v>
      </c>
      <c r="B91" s="325"/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172"/>
      <c r="R91" s="216"/>
      <c r="S91" s="216"/>
      <c r="T91" s="172"/>
    </row>
    <row r="92" spans="1:20" ht="15.75" customHeight="1">
      <c r="A92" s="325" t="s">
        <v>125</v>
      </c>
      <c r="B92" s="325"/>
      <c r="C92" s="325"/>
      <c r="D92" s="325"/>
      <c r="E92" s="325"/>
      <c r="F92" s="325"/>
      <c r="G92" s="325"/>
      <c r="H92" s="325"/>
      <c r="I92" s="325"/>
      <c r="J92" s="325"/>
      <c r="K92" s="325"/>
      <c r="L92" s="325"/>
      <c r="M92" s="325"/>
      <c r="N92" s="325"/>
      <c r="O92" s="325"/>
      <c r="P92" s="325"/>
      <c r="Q92" s="44"/>
      <c r="R92" s="44"/>
      <c r="S92" s="44"/>
      <c r="T92" s="16"/>
    </row>
    <row r="93" spans="1:20" ht="18.75" customHeight="1">
      <c r="A93" s="325" t="s">
        <v>126</v>
      </c>
      <c r="B93" s="325"/>
      <c r="C93" s="325"/>
      <c r="D93" s="325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44"/>
      <c r="R93" s="44"/>
      <c r="S93" s="44"/>
      <c r="T93" s="16"/>
    </row>
    <row r="94" spans="1:20" ht="18.75" customHeight="1">
      <c r="A94" s="176" t="s">
        <v>76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44"/>
      <c r="R94" s="44"/>
      <c r="S94" s="45"/>
      <c r="T94" s="16"/>
    </row>
    <row r="95" spans="1:20" ht="24.75" customHeight="1">
      <c r="A95" s="176">
        <v>64</v>
      </c>
      <c r="B95" s="176">
        <f>45325489.9-1006940</f>
        <v>44318549.9</v>
      </c>
      <c r="C95" s="176" t="s">
        <v>74</v>
      </c>
      <c r="D95" s="176"/>
      <c r="E95" s="179"/>
      <c r="F95" s="326" t="s">
        <v>53</v>
      </c>
      <c r="G95" s="326"/>
      <c r="H95" s="326"/>
      <c r="I95" s="326"/>
      <c r="J95" s="326"/>
      <c r="K95" s="326"/>
      <c r="L95" s="326"/>
      <c r="M95" s="179"/>
      <c r="N95" s="179" t="s">
        <v>67</v>
      </c>
      <c r="O95" s="327" t="s">
        <v>70</v>
      </c>
      <c r="P95" s="328"/>
      <c r="Q95" s="329">
        <f>11263905*100/46205596.5</f>
        <v>24.377793715962525</v>
      </c>
      <c r="R95" s="329"/>
      <c r="S95" s="329"/>
      <c r="T95" s="16"/>
    </row>
    <row r="96" spans="1:20" ht="24" customHeight="1">
      <c r="A96" s="176">
        <v>64</v>
      </c>
      <c r="B96" s="176">
        <f>45325489.9-12576000</f>
        <v>32749489.9</v>
      </c>
      <c r="C96" s="176" t="s">
        <v>75</v>
      </c>
      <c r="D96" s="176"/>
      <c r="E96" s="179"/>
      <c r="F96" s="179"/>
      <c r="G96" s="179"/>
      <c r="H96" s="179"/>
      <c r="I96" s="179"/>
      <c r="J96" s="179"/>
      <c r="K96" s="179"/>
      <c r="L96" s="179"/>
      <c r="M96" s="179"/>
      <c r="N96" s="179" t="s">
        <v>68</v>
      </c>
      <c r="O96" s="330" t="s">
        <v>71</v>
      </c>
      <c r="P96" s="330"/>
      <c r="Q96" s="329">
        <f>11639403*100/48515876.32</f>
        <v>23.990915722575163</v>
      </c>
      <c r="R96" s="329"/>
      <c r="S96" s="329"/>
      <c r="T96" s="16"/>
    </row>
    <row r="97" spans="1:20" ht="18.75" customHeight="1">
      <c r="A97" s="176">
        <v>64</v>
      </c>
      <c r="B97" s="176">
        <f>45325489.9-12576000-1006940</f>
        <v>31742549.9</v>
      </c>
      <c r="C97" s="258" t="s">
        <v>77</v>
      </c>
      <c r="D97" s="31"/>
      <c r="E97" s="180"/>
      <c r="F97" s="181"/>
      <c r="G97" s="181"/>
      <c r="H97" s="178"/>
      <c r="I97" s="178"/>
      <c r="J97" s="178"/>
      <c r="K97" s="179"/>
      <c r="L97" s="179"/>
      <c r="M97" s="179"/>
      <c r="N97" s="179" t="s">
        <v>69</v>
      </c>
      <c r="O97" s="330" t="s">
        <v>72</v>
      </c>
      <c r="P97" s="330"/>
      <c r="Q97" s="329">
        <f>12020973*100/50941670.14</f>
        <v>23.59752431940976</v>
      </c>
      <c r="R97" s="329"/>
      <c r="S97" s="329"/>
      <c r="T97" s="16"/>
    </row>
    <row r="98" spans="1:20" ht="18.75" customHeight="1">
      <c r="A98" s="121"/>
      <c r="B98" s="122"/>
      <c r="C98" s="122"/>
      <c r="D98" s="31"/>
      <c r="E98" s="180"/>
      <c r="F98" s="181"/>
      <c r="G98" s="181"/>
      <c r="H98" s="178"/>
      <c r="I98" s="178"/>
      <c r="J98" s="178"/>
      <c r="K98" s="179"/>
      <c r="L98" s="179"/>
      <c r="M98" s="179"/>
      <c r="N98" s="179"/>
      <c r="O98" s="179"/>
      <c r="P98" s="179"/>
      <c r="Q98" s="182"/>
      <c r="R98" s="182"/>
      <c r="S98" s="182"/>
      <c r="T98" s="16"/>
    </row>
    <row r="99" spans="1:20" ht="18.75" customHeight="1">
      <c r="A99" s="123"/>
      <c r="B99" s="124"/>
      <c r="C99" s="124"/>
      <c r="D99" s="31"/>
      <c r="E99" s="183"/>
      <c r="F99" s="319" t="s">
        <v>54</v>
      </c>
      <c r="G99" s="319"/>
      <c r="H99" s="319"/>
      <c r="I99" s="319"/>
      <c r="J99" s="319"/>
      <c r="K99" s="319"/>
      <c r="L99" s="319"/>
      <c r="M99" s="184"/>
      <c r="N99" s="320" t="s">
        <v>55</v>
      </c>
      <c r="O99" s="320"/>
      <c r="P99" s="320"/>
      <c r="Q99" s="321">
        <f>11081088*100/28655660</f>
        <v>38.669805546269046</v>
      </c>
      <c r="R99" s="322"/>
      <c r="S99" s="323"/>
      <c r="T99" s="16"/>
    </row>
    <row r="100" spans="1:20" ht="18.75" customHeight="1">
      <c r="A100" s="123"/>
      <c r="B100" s="124"/>
      <c r="C100" s="124"/>
      <c r="D100" s="31"/>
      <c r="E100" s="183"/>
      <c r="F100" s="181"/>
      <c r="G100" s="181"/>
      <c r="H100" s="178"/>
      <c r="I100" s="178"/>
      <c r="J100" s="178"/>
      <c r="K100" s="184"/>
      <c r="L100" s="184"/>
      <c r="M100" s="184"/>
      <c r="N100" s="320" t="s">
        <v>56</v>
      </c>
      <c r="O100" s="320"/>
      <c r="P100" s="320"/>
      <c r="Q100" s="321">
        <f>11461968*100/30088443</f>
        <v>38.09425432881323</v>
      </c>
      <c r="R100" s="322"/>
      <c r="S100" s="323"/>
      <c r="T100" s="16"/>
    </row>
    <row r="101" spans="1:20" ht="18.75" customHeight="1">
      <c r="A101" s="123"/>
      <c r="B101" s="124"/>
      <c r="C101" s="124"/>
      <c r="D101" s="31"/>
      <c r="E101" s="183"/>
      <c r="F101" s="181"/>
      <c r="G101" s="181"/>
      <c r="H101" s="178"/>
      <c r="I101" s="178"/>
      <c r="J101" s="178"/>
      <c r="K101" s="184"/>
      <c r="L101" s="184"/>
      <c r="M101" s="184"/>
      <c r="N101" s="320" t="s">
        <v>57</v>
      </c>
      <c r="O101" s="320"/>
      <c r="P101" s="320"/>
      <c r="Q101" s="321">
        <f>11851488*100/31592865.15</f>
        <v>37.51317882607428</v>
      </c>
      <c r="R101" s="322"/>
      <c r="S101" s="323"/>
      <c r="T101" s="16"/>
    </row>
    <row r="102" spans="1:20" ht="18.75" customHeight="1">
      <c r="A102" s="123"/>
      <c r="B102" s="124"/>
      <c r="C102" s="124"/>
      <c r="D102" s="31"/>
      <c r="E102" s="183"/>
      <c r="F102" s="181"/>
      <c r="G102" s="181"/>
      <c r="H102" s="178"/>
      <c r="I102" s="178"/>
      <c r="J102" s="178"/>
      <c r="K102" s="184"/>
      <c r="L102" s="184"/>
      <c r="M102" s="184"/>
      <c r="N102" s="333"/>
      <c r="O102" s="333"/>
      <c r="P102" s="333"/>
      <c r="Q102" s="273"/>
      <c r="R102" s="273"/>
      <c r="S102" s="273"/>
      <c r="T102" s="29"/>
    </row>
    <row r="103" spans="1:20" ht="18.75" customHeight="1">
      <c r="A103" s="123"/>
      <c r="B103" s="124"/>
      <c r="C103" s="124"/>
      <c r="D103" s="31"/>
      <c r="E103" s="183"/>
      <c r="F103" s="331" t="s">
        <v>51</v>
      </c>
      <c r="G103" s="331"/>
      <c r="H103" s="331"/>
      <c r="I103" s="331"/>
      <c r="J103" s="331"/>
      <c r="K103" s="331"/>
      <c r="L103" s="331"/>
      <c r="M103" s="184"/>
      <c r="N103" s="320" t="s">
        <v>55</v>
      </c>
      <c r="O103" s="320"/>
      <c r="P103" s="320"/>
      <c r="Q103" s="321">
        <f>11081088*100/29535160</f>
        <v>37.518293450924254</v>
      </c>
      <c r="R103" s="322"/>
      <c r="S103" s="323"/>
      <c r="T103" s="16"/>
    </row>
    <row r="104" spans="1:25" ht="18.75" customHeight="1">
      <c r="A104" s="123"/>
      <c r="B104" s="124"/>
      <c r="C104" s="124"/>
      <c r="D104" s="125"/>
      <c r="E104" s="183"/>
      <c r="F104" s="181"/>
      <c r="G104" s="181"/>
      <c r="H104" s="185"/>
      <c r="I104" s="185"/>
      <c r="J104" s="185"/>
      <c r="K104" s="184"/>
      <c r="L104" s="184"/>
      <c r="M104" s="184"/>
      <c r="N104" s="320" t="s">
        <v>56</v>
      </c>
      <c r="O104" s="320"/>
      <c r="P104" s="320"/>
      <c r="Q104" s="321">
        <f>11461968*100/31011918</f>
        <v>36.95988103670337</v>
      </c>
      <c r="R104" s="322"/>
      <c r="S104" s="323"/>
      <c r="T104" s="16"/>
      <c r="W104" s="7"/>
      <c r="X104" s="7"/>
      <c r="Y104" s="7"/>
    </row>
    <row r="105" spans="5:25" ht="18.75" customHeight="1">
      <c r="E105" s="186"/>
      <c r="F105" s="187"/>
      <c r="G105" s="187"/>
      <c r="H105" s="188"/>
      <c r="I105" s="188"/>
      <c r="J105" s="188"/>
      <c r="K105" s="186"/>
      <c r="L105" s="186"/>
      <c r="M105" s="186"/>
      <c r="N105" s="320" t="s">
        <v>57</v>
      </c>
      <c r="O105" s="320"/>
      <c r="P105" s="320"/>
      <c r="Q105" s="321">
        <f>11851488*100/32562513.9</f>
        <v>36.39610883974164</v>
      </c>
      <c r="R105" s="322"/>
      <c r="S105" s="323"/>
      <c r="T105" s="16"/>
      <c r="W105" s="7"/>
      <c r="X105" s="7"/>
      <c r="Y105" s="7"/>
    </row>
    <row r="106" spans="5:20" ht="18.75" customHeight="1">
      <c r="E106" s="186"/>
      <c r="F106" s="187"/>
      <c r="G106" s="187"/>
      <c r="H106" s="188"/>
      <c r="I106" s="188"/>
      <c r="J106" s="188"/>
      <c r="K106" s="186"/>
      <c r="L106" s="186"/>
      <c r="M106" s="186"/>
      <c r="N106" s="274"/>
      <c r="O106" s="274"/>
      <c r="P106" s="274"/>
      <c r="Q106" s="274"/>
      <c r="R106" s="274"/>
      <c r="S106" s="274"/>
      <c r="T106" s="16"/>
    </row>
    <row r="107" spans="5:20" ht="21" customHeight="1">
      <c r="E107" s="186"/>
      <c r="F107" s="331" t="s">
        <v>52</v>
      </c>
      <c r="G107" s="331"/>
      <c r="H107" s="331"/>
      <c r="I107" s="331"/>
      <c r="J107" s="331"/>
      <c r="K107" s="331"/>
      <c r="L107" s="331"/>
      <c r="M107" s="186"/>
      <c r="N107" s="320" t="s">
        <v>55</v>
      </c>
      <c r="O107" s="320"/>
      <c r="P107" s="320"/>
      <c r="Q107" s="332">
        <f>11081088*100/38235260</f>
        <v>28.98133293718939</v>
      </c>
      <c r="R107" s="332"/>
      <c r="S107" s="332"/>
      <c r="T107" s="16"/>
    </row>
    <row r="108" spans="5:20" ht="21" customHeight="1">
      <c r="E108" s="186"/>
      <c r="F108" s="187"/>
      <c r="G108" s="187"/>
      <c r="H108" s="188"/>
      <c r="I108" s="188"/>
      <c r="J108" s="188"/>
      <c r="K108" s="186"/>
      <c r="L108" s="186"/>
      <c r="M108" s="186"/>
      <c r="N108" s="320" t="s">
        <v>56</v>
      </c>
      <c r="O108" s="320"/>
      <c r="P108" s="320"/>
      <c r="Q108" s="332">
        <f>11461968*100/40147023</f>
        <v>28.54998239844583</v>
      </c>
      <c r="R108" s="332"/>
      <c r="S108" s="332"/>
      <c r="T108" s="16"/>
    </row>
    <row r="109" spans="5:23" ht="21" customHeight="1">
      <c r="E109" s="186"/>
      <c r="F109" s="187"/>
      <c r="G109" s="187"/>
      <c r="H109" s="188"/>
      <c r="I109" s="188"/>
      <c r="J109" s="188"/>
      <c r="K109" s="186"/>
      <c r="L109" s="186"/>
      <c r="M109" s="186"/>
      <c r="N109" s="320" t="s">
        <v>57</v>
      </c>
      <c r="O109" s="320"/>
      <c r="P109" s="320"/>
      <c r="Q109" s="332">
        <f>11851488*100/42154374.15</f>
        <v>28.114491648786583</v>
      </c>
      <c r="R109" s="332"/>
      <c r="S109" s="332"/>
      <c r="T109" s="10"/>
      <c r="W109" s="8"/>
    </row>
    <row r="110" spans="1:23" s="5" customFormat="1" ht="21" customHeight="1">
      <c r="A110" s="126"/>
      <c r="B110" s="127"/>
      <c r="C110" s="127"/>
      <c r="D110" s="128"/>
      <c r="E110" s="129"/>
      <c r="F110" s="130"/>
      <c r="G110" s="130"/>
      <c r="H110" s="128"/>
      <c r="I110" s="128"/>
      <c r="J110" s="128"/>
      <c r="K110" s="129"/>
      <c r="L110" s="129"/>
      <c r="M110" s="129"/>
      <c r="N110" s="32"/>
      <c r="O110" s="32"/>
      <c r="P110" s="32"/>
      <c r="Q110" s="32"/>
      <c r="R110" s="32"/>
      <c r="S110" s="32"/>
      <c r="T110" s="15"/>
      <c r="W110" s="12"/>
    </row>
    <row r="111" spans="1:23" s="5" customFormat="1" ht="21" customHeight="1">
      <c r="A111" s="126"/>
      <c r="B111" s="127"/>
      <c r="C111" s="127"/>
      <c r="D111" s="128"/>
      <c r="E111" s="129"/>
      <c r="F111" s="130"/>
      <c r="G111" s="130"/>
      <c r="H111" s="128"/>
      <c r="I111" s="128"/>
      <c r="J111" s="128"/>
      <c r="K111" s="129"/>
      <c r="L111" s="129"/>
      <c r="M111" s="129"/>
      <c r="N111" s="334"/>
      <c r="O111" s="334"/>
      <c r="P111" s="334"/>
      <c r="Q111" s="44"/>
      <c r="R111" s="44"/>
      <c r="S111" s="44"/>
      <c r="T111" s="15"/>
      <c r="W111" s="12"/>
    </row>
    <row r="112" spans="1:23" s="5" customFormat="1" ht="21" customHeight="1">
      <c r="A112" s="126"/>
      <c r="B112" s="127"/>
      <c r="C112" s="127"/>
      <c r="D112" s="128"/>
      <c r="E112" s="129"/>
      <c r="F112" s="130"/>
      <c r="G112" s="130"/>
      <c r="H112" s="128"/>
      <c r="I112" s="128"/>
      <c r="J112" s="128"/>
      <c r="K112" s="129"/>
      <c r="L112" s="129"/>
      <c r="M112" s="129"/>
      <c r="N112" s="32"/>
      <c r="O112" s="32"/>
      <c r="P112" s="32"/>
      <c r="Q112" s="32"/>
      <c r="R112" s="32"/>
      <c r="S112" s="32"/>
      <c r="T112" s="15"/>
      <c r="W112" s="12"/>
    </row>
    <row r="113" spans="1:23" s="5" customFormat="1" ht="21" customHeight="1">
      <c r="A113" s="126"/>
      <c r="B113" s="127"/>
      <c r="C113" s="127"/>
      <c r="D113" s="128"/>
      <c r="E113" s="129"/>
      <c r="F113" s="130"/>
      <c r="G113" s="130"/>
      <c r="H113" s="128"/>
      <c r="I113" s="128"/>
      <c r="J113" s="128"/>
      <c r="K113" s="129"/>
      <c r="L113" s="129"/>
      <c r="M113" s="129"/>
      <c r="N113" s="32"/>
      <c r="O113" s="32"/>
      <c r="P113" s="32"/>
      <c r="Q113" s="32"/>
      <c r="R113" s="32"/>
      <c r="S113" s="32"/>
      <c r="T113" s="15"/>
      <c r="W113" s="12"/>
    </row>
    <row r="114" spans="1:25" s="5" customFormat="1" ht="21" customHeight="1">
      <c r="A114" s="126"/>
      <c r="B114" s="127"/>
      <c r="C114" s="127"/>
      <c r="D114" s="128"/>
      <c r="E114" s="129"/>
      <c r="F114" s="130"/>
      <c r="G114" s="130"/>
      <c r="H114" s="128"/>
      <c r="I114" s="128"/>
      <c r="J114" s="128"/>
      <c r="K114" s="129"/>
      <c r="L114" s="129"/>
      <c r="M114" s="129"/>
      <c r="N114" s="32"/>
      <c r="O114" s="32"/>
      <c r="P114" s="32"/>
      <c r="Q114" s="32"/>
      <c r="R114" s="32"/>
      <c r="S114" s="32"/>
      <c r="T114" s="15"/>
      <c r="W114" s="9"/>
      <c r="X114" s="9"/>
      <c r="Y114" s="9"/>
    </row>
    <row r="115" spans="1:25" s="5" customFormat="1" ht="21" customHeight="1">
      <c r="A115" s="126"/>
      <c r="B115" s="127"/>
      <c r="C115" s="127"/>
      <c r="D115" s="128"/>
      <c r="E115" s="129"/>
      <c r="F115" s="130"/>
      <c r="G115" s="130"/>
      <c r="H115" s="128"/>
      <c r="I115" s="128"/>
      <c r="J115" s="128"/>
      <c r="K115" s="129"/>
      <c r="L115" s="129"/>
      <c r="M115" s="129"/>
      <c r="N115" s="46"/>
      <c r="O115" s="46"/>
      <c r="P115" s="46"/>
      <c r="Q115" s="46"/>
      <c r="R115" s="46"/>
      <c r="S115" s="46"/>
      <c r="T115" s="15"/>
      <c r="W115" s="9"/>
      <c r="X115" s="9"/>
      <c r="Y115" s="9"/>
    </row>
    <row r="116" spans="1:25" s="5" customFormat="1" ht="21" customHeight="1">
      <c r="A116" s="126"/>
      <c r="B116" s="127"/>
      <c r="C116" s="127"/>
      <c r="D116" s="128"/>
      <c r="E116" s="129"/>
      <c r="F116" s="130"/>
      <c r="G116" s="130"/>
      <c r="H116" s="128"/>
      <c r="I116" s="128"/>
      <c r="J116" s="128"/>
      <c r="K116" s="129"/>
      <c r="L116" s="129"/>
      <c r="M116" s="129"/>
      <c r="N116" s="46"/>
      <c r="O116" s="46"/>
      <c r="P116" s="46"/>
      <c r="Q116" s="46"/>
      <c r="R116" s="46"/>
      <c r="S116" s="46"/>
      <c r="T116" s="15"/>
      <c r="W116" s="9"/>
      <c r="X116" s="9"/>
      <c r="Y116" s="9"/>
    </row>
    <row r="117" spans="1:25" s="5" customFormat="1" ht="21" customHeight="1">
      <c r="A117" s="126"/>
      <c r="B117" s="127"/>
      <c r="C117" s="127"/>
      <c r="D117" s="128"/>
      <c r="E117" s="129"/>
      <c r="F117" s="130"/>
      <c r="G117" s="130"/>
      <c r="H117" s="128"/>
      <c r="I117" s="128"/>
      <c r="J117" s="128"/>
      <c r="K117" s="129"/>
      <c r="L117" s="129"/>
      <c r="M117" s="129"/>
      <c r="N117" s="46"/>
      <c r="O117" s="46"/>
      <c r="P117" s="46"/>
      <c r="Q117" s="46"/>
      <c r="R117" s="46"/>
      <c r="S117" s="46"/>
      <c r="T117" s="15"/>
      <c r="W117" s="9"/>
      <c r="X117" s="9"/>
      <c r="Y117" s="9"/>
    </row>
    <row r="118" spans="23:25" ht="21" customHeight="1">
      <c r="W118" s="7"/>
      <c r="X118" s="7"/>
      <c r="Y118" s="7"/>
    </row>
    <row r="119" spans="21:22" ht="21" customHeight="1">
      <c r="U119" s="7"/>
      <c r="V119" s="7"/>
    </row>
  </sheetData>
  <sheetProtection/>
  <mergeCells count="85">
    <mergeCell ref="N108:P108"/>
    <mergeCell ref="Q108:S108"/>
    <mergeCell ref="N109:P109"/>
    <mergeCell ref="Q109:S109"/>
    <mergeCell ref="N111:P111"/>
    <mergeCell ref="N104:P104"/>
    <mergeCell ref="Q104:S104"/>
    <mergeCell ref="N105:P105"/>
    <mergeCell ref="Q105:S105"/>
    <mergeCell ref="F107:L107"/>
    <mergeCell ref="N107:P107"/>
    <mergeCell ref="Q107:S107"/>
    <mergeCell ref="N100:P100"/>
    <mergeCell ref="Q100:S100"/>
    <mergeCell ref="N101:P101"/>
    <mergeCell ref="Q101:S101"/>
    <mergeCell ref="N102:P102"/>
    <mergeCell ref="F103:L103"/>
    <mergeCell ref="N103:P103"/>
    <mergeCell ref="Q103:S103"/>
    <mergeCell ref="Q95:S95"/>
    <mergeCell ref="O96:P96"/>
    <mergeCell ref="Q96:S96"/>
    <mergeCell ref="O97:P97"/>
    <mergeCell ref="Q97:S97"/>
    <mergeCell ref="F99:L99"/>
    <mergeCell ref="N99:P99"/>
    <mergeCell ref="Q99:S99"/>
    <mergeCell ref="A89:P89"/>
    <mergeCell ref="A90:P90"/>
    <mergeCell ref="A91:P91"/>
    <mergeCell ref="A92:P92"/>
    <mergeCell ref="A93:P93"/>
    <mergeCell ref="F95:L95"/>
    <mergeCell ref="O95:P95"/>
    <mergeCell ref="A83:B83"/>
    <mergeCell ref="A84:B84"/>
    <mergeCell ref="A85:B85"/>
    <mergeCell ref="A86:B86"/>
    <mergeCell ref="A87:P87"/>
    <mergeCell ref="A88:P88"/>
    <mergeCell ref="E66:G66"/>
    <mergeCell ref="H66:J66"/>
    <mergeCell ref="K66:M66"/>
    <mergeCell ref="N66:P66"/>
    <mergeCell ref="Q66:S66"/>
    <mergeCell ref="H67:J67"/>
    <mergeCell ref="K67:M67"/>
    <mergeCell ref="N67:P67"/>
    <mergeCell ref="Q67:S67"/>
    <mergeCell ref="H34:J34"/>
    <mergeCell ref="K34:M34"/>
    <mergeCell ref="N34:P34"/>
    <mergeCell ref="Q34:S34"/>
    <mergeCell ref="E65:G65"/>
    <mergeCell ref="H65:J65"/>
    <mergeCell ref="K65:M65"/>
    <mergeCell ref="N65:P65"/>
    <mergeCell ref="Q65:S65"/>
    <mergeCell ref="E32:G32"/>
    <mergeCell ref="H32:J32"/>
    <mergeCell ref="K32:M32"/>
    <mergeCell ref="N32:P32"/>
    <mergeCell ref="Q32:S32"/>
    <mergeCell ref="E33:G33"/>
    <mergeCell ref="H33:J33"/>
    <mergeCell ref="K33:M33"/>
    <mergeCell ref="N33:P33"/>
    <mergeCell ref="Q33:S33"/>
    <mergeCell ref="E4:G4"/>
    <mergeCell ref="H4:J4"/>
    <mergeCell ref="K4:M4"/>
    <mergeCell ref="N4:P4"/>
    <mergeCell ref="Q4:S4"/>
    <mergeCell ref="H5:J5"/>
    <mergeCell ref="K5:M5"/>
    <mergeCell ref="N5:P5"/>
    <mergeCell ref="Q5:S5"/>
    <mergeCell ref="A1:S1"/>
    <mergeCell ref="A2:S2"/>
    <mergeCell ref="E3:G3"/>
    <mergeCell ref="H3:J3"/>
    <mergeCell ref="K3:M3"/>
    <mergeCell ref="N3:P3"/>
    <mergeCell ref="Q3:S3"/>
  </mergeCells>
  <printOptions/>
  <pageMargins left="0.4330708661417323" right="0.2362204724409449" top="0.7480314960629921" bottom="0.7480314960629921" header="0.31496062992125984" footer="0.31496062992125984"/>
  <pageSetup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2020-10-06T04:47:30Z</cp:lastPrinted>
  <dcterms:created xsi:type="dcterms:W3CDTF">2012-03-27T09:12:55Z</dcterms:created>
  <dcterms:modified xsi:type="dcterms:W3CDTF">2021-03-02T08:20:05Z</dcterms:modified>
  <cp:category/>
  <cp:version/>
  <cp:contentType/>
  <cp:contentStatus/>
</cp:coreProperties>
</file>